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vdifileserver.riag.ri.gov\VDIProfiles$\ProfileUnity\mfield\Desktop\"/>
    </mc:Choice>
  </mc:AlternateContent>
  <bookViews>
    <workbookView xWindow="0" yWindow="0" windowWidth="28800" windowHeight="14010"/>
  </bookViews>
  <sheets>
    <sheet name="Thru FY 2017" sheetId="1" r:id="rId1"/>
    <sheet name="FY 2018"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6" i="2" l="1"/>
  <c r="L316" i="2"/>
  <c r="K316" i="2"/>
  <c r="I316" i="2"/>
  <c r="H316" i="2"/>
  <c r="G316" i="2"/>
  <c r="F316" i="2"/>
  <c r="E316" i="2"/>
  <c r="D316" i="2"/>
  <c r="C316" i="2"/>
  <c r="B316" i="2"/>
  <c r="A316" i="2"/>
  <c r="J314" i="2"/>
  <c r="M313" i="2"/>
  <c r="L313" i="2"/>
  <c r="K313" i="2"/>
  <c r="I313" i="2"/>
  <c r="H313" i="2"/>
  <c r="G313" i="2"/>
  <c r="F313" i="2"/>
  <c r="E313" i="2"/>
  <c r="D313" i="2"/>
  <c r="C313" i="2"/>
  <c r="B313" i="2"/>
  <c r="A313" i="2"/>
  <c r="M312" i="2"/>
  <c r="L312" i="2"/>
  <c r="K312" i="2"/>
  <c r="I312" i="2"/>
  <c r="H312" i="2"/>
  <c r="G312" i="2"/>
  <c r="F312" i="2"/>
  <c r="E312" i="2"/>
  <c r="D312" i="2"/>
  <c r="C312" i="2"/>
  <c r="B312" i="2"/>
  <c r="A312" i="2"/>
  <c r="M311" i="2"/>
  <c r="L311" i="2"/>
  <c r="K311" i="2"/>
  <c r="I311" i="2"/>
  <c r="H311" i="2"/>
  <c r="G311" i="2"/>
  <c r="F311" i="2"/>
  <c r="E311" i="2"/>
  <c r="D311" i="2"/>
  <c r="C311" i="2"/>
  <c r="B311" i="2"/>
  <c r="A311" i="2"/>
  <c r="M310" i="2"/>
  <c r="L310" i="2"/>
  <c r="K310" i="2"/>
  <c r="I310" i="2"/>
  <c r="H310" i="2"/>
  <c r="G310" i="2"/>
  <c r="F310" i="2"/>
  <c r="E310" i="2"/>
  <c r="D310" i="2"/>
  <c r="C310" i="2"/>
  <c r="B310" i="2"/>
  <c r="A310" i="2"/>
  <c r="M309" i="2"/>
  <c r="L309" i="2"/>
  <c r="K309" i="2"/>
  <c r="I309" i="2"/>
  <c r="H309" i="2"/>
  <c r="G309" i="2"/>
  <c r="F309" i="2"/>
  <c r="E309" i="2"/>
  <c r="D309" i="2"/>
  <c r="C309" i="2"/>
  <c r="B309" i="2"/>
  <c r="A309" i="2"/>
  <c r="M308" i="2"/>
  <c r="L308" i="2"/>
  <c r="K308" i="2"/>
  <c r="I308" i="2"/>
  <c r="H308" i="2"/>
  <c r="G308" i="2"/>
  <c r="F308" i="2"/>
  <c r="E308" i="2"/>
  <c r="D308" i="2"/>
  <c r="C308" i="2"/>
  <c r="B308" i="2"/>
  <c r="A308" i="2"/>
  <c r="M307" i="2"/>
  <c r="L307" i="2"/>
  <c r="K307" i="2"/>
  <c r="I307" i="2"/>
  <c r="H307" i="2"/>
  <c r="G307" i="2"/>
  <c r="F307" i="2"/>
  <c r="E307" i="2"/>
  <c r="D307" i="2"/>
  <c r="C307" i="2"/>
  <c r="B307" i="2"/>
  <c r="A307" i="2"/>
  <c r="M306" i="2"/>
  <c r="L306" i="2"/>
  <c r="K306" i="2"/>
  <c r="I306" i="2"/>
  <c r="H306" i="2"/>
  <c r="G306" i="2"/>
  <c r="F306" i="2"/>
  <c r="E306" i="2"/>
  <c r="D306" i="2"/>
  <c r="C306" i="2"/>
  <c r="B306" i="2"/>
  <c r="A306" i="2"/>
  <c r="J304" i="2"/>
  <c r="M303" i="2"/>
  <c r="L303" i="2"/>
  <c r="K303" i="2"/>
  <c r="I303" i="2"/>
  <c r="H303" i="2"/>
  <c r="G303" i="2"/>
  <c r="F303" i="2"/>
  <c r="E303" i="2"/>
  <c r="D303" i="2"/>
  <c r="C303" i="2"/>
  <c r="B303" i="2"/>
  <c r="A303" i="2"/>
  <c r="M302" i="2"/>
  <c r="L302" i="2"/>
  <c r="K302" i="2"/>
  <c r="I302" i="2"/>
  <c r="H302" i="2"/>
  <c r="G302" i="2"/>
  <c r="F302" i="2"/>
  <c r="E302" i="2"/>
  <c r="D302" i="2"/>
  <c r="C302" i="2"/>
  <c r="B302" i="2"/>
  <c r="A302" i="2"/>
  <c r="M301" i="2"/>
  <c r="L301" i="2"/>
  <c r="K301" i="2"/>
  <c r="I301" i="2"/>
  <c r="H301" i="2"/>
  <c r="G301" i="2"/>
  <c r="F301" i="2"/>
  <c r="E301" i="2"/>
  <c r="D301" i="2"/>
  <c r="C301" i="2"/>
  <c r="B301" i="2"/>
  <c r="A301" i="2"/>
  <c r="M300" i="2"/>
  <c r="L300" i="2"/>
  <c r="K300" i="2"/>
  <c r="I300" i="2"/>
  <c r="H300" i="2"/>
  <c r="G300" i="2"/>
  <c r="F300" i="2"/>
  <c r="E300" i="2"/>
  <c r="D300" i="2"/>
  <c r="C300" i="2"/>
  <c r="B300" i="2"/>
  <c r="A300" i="2"/>
  <c r="M299" i="2"/>
  <c r="L299" i="2"/>
  <c r="K299" i="2"/>
  <c r="I299" i="2"/>
  <c r="H299" i="2"/>
  <c r="G299" i="2"/>
  <c r="F299" i="2"/>
  <c r="E299" i="2"/>
  <c r="D299" i="2"/>
  <c r="C299" i="2"/>
  <c r="B299" i="2"/>
  <c r="A299" i="2"/>
  <c r="M298" i="2"/>
  <c r="L298" i="2"/>
  <c r="K298" i="2"/>
  <c r="I298" i="2"/>
  <c r="H298" i="2"/>
  <c r="G298" i="2"/>
  <c r="F298" i="2"/>
  <c r="E298" i="2"/>
  <c r="D298" i="2"/>
  <c r="C298" i="2"/>
  <c r="B298" i="2"/>
  <c r="A298" i="2"/>
  <c r="M297" i="2"/>
  <c r="L297" i="2"/>
  <c r="K297" i="2"/>
  <c r="I297" i="2"/>
  <c r="H297" i="2"/>
  <c r="G297" i="2"/>
  <c r="F297" i="2"/>
  <c r="E297" i="2"/>
  <c r="D297" i="2"/>
  <c r="C297" i="2"/>
  <c r="B297" i="2"/>
  <c r="A297" i="2"/>
  <c r="M296" i="2"/>
  <c r="L296" i="2"/>
  <c r="K296" i="2"/>
  <c r="I296" i="2"/>
  <c r="H296" i="2"/>
  <c r="G296" i="2"/>
  <c r="F296" i="2"/>
  <c r="E296" i="2"/>
  <c r="D296" i="2"/>
  <c r="C296" i="2"/>
  <c r="B296" i="2"/>
  <c r="A296" i="2"/>
  <c r="M295" i="2"/>
  <c r="L295" i="2"/>
  <c r="K295" i="2"/>
  <c r="I295" i="2"/>
  <c r="H295" i="2"/>
  <c r="G295" i="2"/>
  <c r="F295" i="2"/>
  <c r="E295" i="2"/>
  <c r="D295" i="2"/>
  <c r="C295" i="2"/>
  <c r="B295" i="2"/>
  <c r="A295" i="2"/>
  <c r="M294" i="2"/>
  <c r="L294" i="2"/>
  <c r="K294" i="2"/>
  <c r="I294" i="2"/>
  <c r="H294" i="2"/>
  <c r="G294" i="2"/>
  <c r="F294" i="2"/>
  <c r="E294" i="2"/>
  <c r="D294" i="2"/>
  <c r="C294" i="2"/>
  <c r="B294" i="2"/>
  <c r="A294" i="2"/>
  <c r="M293" i="2"/>
  <c r="K293" i="2"/>
  <c r="I293" i="2"/>
  <c r="H293" i="2"/>
  <c r="G293" i="2"/>
  <c r="F293" i="2"/>
  <c r="E293" i="2"/>
  <c r="D293" i="2"/>
  <c r="C293" i="2"/>
  <c r="B293" i="2"/>
  <c r="A293" i="2"/>
  <c r="M292" i="2"/>
  <c r="L292" i="2"/>
  <c r="K292" i="2"/>
  <c r="I292" i="2"/>
  <c r="H292" i="2"/>
  <c r="G292" i="2"/>
  <c r="F292" i="2"/>
  <c r="E292" i="2"/>
  <c r="D292" i="2"/>
  <c r="C292" i="2"/>
  <c r="B292" i="2"/>
  <c r="A292" i="2"/>
  <c r="J290" i="2"/>
  <c r="M289" i="2"/>
  <c r="L289" i="2"/>
  <c r="K289" i="2"/>
  <c r="I289" i="2"/>
  <c r="H289" i="2"/>
  <c r="G289" i="2"/>
  <c r="F289" i="2"/>
  <c r="E289" i="2"/>
  <c r="D289" i="2"/>
  <c r="C289" i="2"/>
  <c r="B289" i="2"/>
  <c r="A289" i="2"/>
  <c r="M288" i="2"/>
  <c r="L288" i="2"/>
  <c r="K288" i="2"/>
  <c r="I288" i="2"/>
  <c r="H288" i="2"/>
  <c r="G288" i="2"/>
  <c r="F288" i="2"/>
  <c r="E288" i="2"/>
  <c r="D288" i="2"/>
  <c r="C288" i="2"/>
  <c r="B288" i="2"/>
  <c r="A288" i="2"/>
  <c r="J286" i="2"/>
  <c r="M285" i="2"/>
  <c r="L285" i="2"/>
  <c r="K285" i="2"/>
  <c r="I285" i="2"/>
  <c r="H285" i="2"/>
  <c r="G285" i="2"/>
  <c r="F285" i="2"/>
  <c r="E285" i="2"/>
  <c r="D285" i="2"/>
  <c r="C285" i="2"/>
  <c r="B285" i="2"/>
  <c r="A285" i="2"/>
  <c r="M284" i="2"/>
  <c r="L284" i="2"/>
  <c r="K284" i="2"/>
  <c r="I284" i="2"/>
  <c r="H284" i="2"/>
  <c r="G284" i="2"/>
  <c r="F284" i="2"/>
  <c r="E284" i="2"/>
  <c r="D284" i="2"/>
  <c r="C284" i="2"/>
  <c r="B284" i="2"/>
  <c r="A284" i="2"/>
  <c r="M283" i="2"/>
  <c r="L283" i="2"/>
  <c r="K283" i="2"/>
  <c r="I283" i="2"/>
  <c r="H283" i="2"/>
  <c r="G283" i="2"/>
  <c r="F283" i="2"/>
  <c r="E283" i="2"/>
  <c r="D283" i="2"/>
  <c r="C283" i="2"/>
  <c r="B283" i="2"/>
  <c r="A283" i="2"/>
  <c r="M282" i="2"/>
  <c r="L282" i="2"/>
  <c r="K282" i="2"/>
  <c r="I282" i="2"/>
  <c r="H282" i="2"/>
  <c r="G282" i="2"/>
  <c r="F282" i="2"/>
  <c r="E282" i="2"/>
  <c r="D282" i="2"/>
  <c r="C282" i="2"/>
  <c r="B282" i="2"/>
  <c r="A282" i="2"/>
  <c r="M281" i="2"/>
  <c r="L281" i="2"/>
  <c r="K281" i="2"/>
  <c r="I281" i="2"/>
  <c r="H281" i="2"/>
  <c r="G281" i="2"/>
  <c r="F281" i="2"/>
  <c r="E281" i="2"/>
  <c r="D281" i="2"/>
  <c r="C281" i="2"/>
  <c r="B281" i="2"/>
  <c r="A281" i="2"/>
  <c r="M280" i="2"/>
  <c r="L280" i="2"/>
  <c r="K280" i="2"/>
  <c r="I280" i="2"/>
  <c r="H280" i="2"/>
  <c r="G280" i="2"/>
  <c r="F280" i="2"/>
  <c r="E280" i="2"/>
  <c r="D280" i="2"/>
  <c r="C280" i="2"/>
  <c r="B280" i="2"/>
  <c r="A280" i="2"/>
  <c r="M279" i="2"/>
  <c r="L279" i="2"/>
  <c r="K279" i="2"/>
  <c r="I279" i="2"/>
  <c r="H279" i="2"/>
  <c r="G279" i="2"/>
  <c r="F279" i="2"/>
  <c r="E279" i="2"/>
  <c r="D279" i="2"/>
  <c r="C279" i="2"/>
  <c r="B279" i="2"/>
  <c r="A279" i="2"/>
  <c r="M278" i="2"/>
  <c r="L278" i="2"/>
  <c r="K278" i="2"/>
  <c r="I278" i="2"/>
  <c r="H278" i="2"/>
  <c r="G278" i="2"/>
  <c r="F278" i="2"/>
  <c r="E278" i="2"/>
  <c r="D278" i="2"/>
  <c r="C278" i="2"/>
  <c r="B278" i="2"/>
  <c r="A278" i="2"/>
  <c r="M277" i="2"/>
  <c r="L277" i="2"/>
  <c r="K277" i="2"/>
  <c r="I277" i="2"/>
  <c r="H277" i="2"/>
  <c r="G277" i="2"/>
  <c r="F277" i="2"/>
  <c r="E277" i="2"/>
  <c r="D277" i="2"/>
  <c r="C277" i="2"/>
  <c r="B277" i="2"/>
  <c r="A277" i="2"/>
  <c r="M276" i="2"/>
  <c r="L276" i="2"/>
  <c r="K276" i="2"/>
  <c r="I276" i="2"/>
  <c r="H276" i="2"/>
  <c r="G276" i="2"/>
  <c r="F276" i="2"/>
  <c r="E276" i="2"/>
  <c r="D276" i="2"/>
  <c r="C276" i="2"/>
  <c r="B276" i="2"/>
  <c r="A276" i="2"/>
  <c r="M275" i="2"/>
  <c r="L275" i="2"/>
  <c r="K275" i="2"/>
  <c r="I275" i="2"/>
  <c r="H275" i="2"/>
  <c r="G275" i="2"/>
  <c r="F275" i="2"/>
  <c r="E275" i="2"/>
  <c r="D275" i="2"/>
  <c r="C275" i="2"/>
  <c r="B275" i="2"/>
  <c r="A275" i="2"/>
  <c r="M274" i="2"/>
  <c r="L274" i="2"/>
  <c r="K274" i="2"/>
  <c r="I274" i="2"/>
  <c r="H274" i="2"/>
  <c r="G274" i="2"/>
  <c r="F274" i="2"/>
  <c r="E274" i="2"/>
  <c r="D274" i="2"/>
  <c r="C274" i="2"/>
  <c r="B274" i="2"/>
  <c r="A274" i="2"/>
  <c r="M273" i="2"/>
  <c r="L273" i="2"/>
  <c r="K273" i="2"/>
  <c r="I273" i="2"/>
  <c r="H273" i="2"/>
  <c r="G273" i="2"/>
  <c r="F273" i="2"/>
  <c r="E273" i="2"/>
  <c r="D273" i="2"/>
  <c r="C273" i="2"/>
  <c r="B273" i="2"/>
  <c r="A273" i="2"/>
  <c r="J271" i="2"/>
  <c r="M270" i="2"/>
  <c r="L270" i="2"/>
  <c r="K270" i="2"/>
  <c r="I270" i="2"/>
  <c r="H270" i="2"/>
  <c r="G270" i="2"/>
  <c r="F270" i="2"/>
  <c r="E270" i="2"/>
  <c r="D270" i="2"/>
  <c r="C270" i="2"/>
  <c r="B270" i="2"/>
  <c r="A270" i="2"/>
  <c r="M269" i="2"/>
  <c r="L269" i="2"/>
  <c r="K269" i="2"/>
  <c r="I269" i="2"/>
  <c r="H269" i="2"/>
  <c r="G269" i="2"/>
  <c r="F269" i="2"/>
  <c r="E269" i="2"/>
  <c r="D269" i="2"/>
  <c r="C269" i="2"/>
  <c r="B269" i="2"/>
  <c r="A269" i="2"/>
  <c r="M268" i="2"/>
  <c r="L268" i="2"/>
  <c r="K268" i="2"/>
  <c r="I268" i="2"/>
  <c r="H268" i="2"/>
  <c r="G268" i="2"/>
  <c r="F268" i="2"/>
  <c r="E268" i="2"/>
  <c r="D268" i="2"/>
  <c r="C268" i="2"/>
  <c r="B268" i="2"/>
  <c r="A268" i="2"/>
  <c r="J266" i="2"/>
  <c r="M265" i="2"/>
  <c r="L265" i="2"/>
  <c r="K265" i="2"/>
  <c r="I265" i="2"/>
  <c r="H265" i="2"/>
  <c r="G265" i="2"/>
  <c r="F265" i="2"/>
  <c r="E265" i="2"/>
  <c r="D265" i="2"/>
  <c r="C265" i="2"/>
  <c r="B265" i="2"/>
  <c r="A265" i="2"/>
  <c r="M264" i="2"/>
  <c r="L264" i="2"/>
  <c r="K264" i="2"/>
  <c r="I264" i="2"/>
  <c r="H264" i="2"/>
  <c r="G264" i="2"/>
  <c r="F264" i="2"/>
  <c r="E264" i="2"/>
  <c r="D264" i="2"/>
  <c r="C264" i="2"/>
  <c r="B264" i="2"/>
  <c r="A264" i="2"/>
  <c r="M263" i="2"/>
  <c r="L263" i="2"/>
  <c r="K263" i="2"/>
  <c r="I263" i="2"/>
  <c r="H263" i="2"/>
  <c r="G263" i="2"/>
  <c r="F263" i="2"/>
  <c r="E263" i="2"/>
  <c r="D263" i="2"/>
  <c r="C263" i="2"/>
  <c r="B263" i="2"/>
  <c r="A263" i="2"/>
  <c r="M262" i="2"/>
  <c r="L262" i="2"/>
  <c r="K262" i="2"/>
  <c r="I262" i="2"/>
  <c r="H262" i="2"/>
  <c r="G262" i="2"/>
  <c r="F262" i="2"/>
  <c r="E262" i="2"/>
  <c r="D262" i="2"/>
  <c r="C262" i="2"/>
  <c r="B262" i="2"/>
  <c r="A262" i="2"/>
  <c r="M261" i="2"/>
  <c r="L261" i="2"/>
  <c r="K261" i="2"/>
  <c r="I261" i="2"/>
  <c r="H261" i="2"/>
  <c r="G261" i="2"/>
  <c r="F261" i="2"/>
  <c r="E261" i="2"/>
  <c r="D261" i="2"/>
  <c r="C261" i="2"/>
  <c r="B261" i="2"/>
  <c r="A261" i="2"/>
  <c r="J259" i="2"/>
  <c r="M258" i="2"/>
  <c r="L258" i="2"/>
  <c r="K258" i="2"/>
  <c r="I258" i="2"/>
  <c r="H258" i="2"/>
  <c r="G258" i="2"/>
  <c r="F258" i="2"/>
  <c r="E258" i="2"/>
  <c r="D258" i="2"/>
  <c r="C258" i="2"/>
  <c r="B258" i="2"/>
  <c r="A258" i="2"/>
  <c r="M257" i="2"/>
  <c r="L257" i="2"/>
  <c r="K257" i="2"/>
  <c r="I257" i="2"/>
  <c r="H257" i="2"/>
  <c r="G257" i="2"/>
  <c r="F257" i="2"/>
  <c r="E257" i="2"/>
  <c r="D257" i="2"/>
  <c r="C257" i="2"/>
  <c r="B257" i="2"/>
  <c r="A257" i="2"/>
  <c r="M256" i="2"/>
  <c r="L256" i="2"/>
  <c r="K256" i="2"/>
  <c r="I256" i="2"/>
  <c r="H256" i="2"/>
  <c r="G256" i="2"/>
  <c r="F256" i="2"/>
  <c r="E256" i="2"/>
  <c r="D256" i="2"/>
  <c r="C256" i="2"/>
  <c r="B256" i="2"/>
  <c r="A256" i="2"/>
  <c r="M255" i="2"/>
  <c r="L255" i="2"/>
  <c r="K255" i="2"/>
  <c r="I255" i="2"/>
  <c r="H255" i="2"/>
  <c r="G255" i="2"/>
  <c r="F255" i="2"/>
  <c r="E255" i="2"/>
  <c r="D255" i="2"/>
  <c r="C255" i="2"/>
  <c r="B255" i="2"/>
  <c r="A255" i="2"/>
  <c r="M254" i="2"/>
  <c r="L254" i="2"/>
  <c r="K254" i="2"/>
  <c r="I254" i="2"/>
  <c r="H254" i="2"/>
  <c r="G254" i="2"/>
  <c r="F254" i="2"/>
  <c r="E254" i="2"/>
  <c r="D254" i="2"/>
  <c r="C254" i="2"/>
  <c r="B254" i="2"/>
  <c r="A254" i="2"/>
  <c r="M253" i="2"/>
  <c r="L253" i="2"/>
  <c r="K253" i="2"/>
  <c r="I253" i="2"/>
  <c r="H253" i="2"/>
  <c r="G253" i="2"/>
  <c r="F253" i="2"/>
  <c r="E253" i="2"/>
  <c r="D253" i="2"/>
  <c r="C253" i="2"/>
  <c r="B253" i="2"/>
  <c r="A253" i="2"/>
  <c r="J251" i="2"/>
  <c r="M250" i="2"/>
  <c r="L250" i="2"/>
  <c r="K250" i="2"/>
  <c r="I250" i="2"/>
  <c r="H250" i="2"/>
  <c r="G250" i="2"/>
  <c r="F250" i="2"/>
  <c r="E250" i="2"/>
  <c r="D250" i="2"/>
  <c r="C250" i="2"/>
  <c r="B250" i="2"/>
  <c r="A250" i="2"/>
  <c r="M249" i="2"/>
  <c r="L249" i="2"/>
  <c r="K249" i="2"/>
  <c r="I249" i="2"/>
  <c r="H249" i="2"/>
  <c r="G249" i="2"/>
  <c r="F249" i="2"/>
  <c r="E249" i="2"/>
  <c r="D249" i="2"/>
  <c r="C249" i="2"/>
  <c r="B249" i="2"/>
  <c r="A249" i="2"/>
  <c r="M248" i="2"/>
  <c r="L248" i="2"/>
  <c r="K248" i="2"/>
  <c r="I248" i="2"/>
  <c r="H248" i="2"/>
  <c r="G248" i="2"/>
  <c r="F248" i="2"/>
  <c r="E248" i="2"/>
  <c r="D248" i="2"/>
  <c r="C248" i="2"/>
  <c r="B248" i="2"/>
  <c r="A248" i="2"/>
  <c r="M247" i="2"/>
  <c r="L247" i="2"/>
  <c r="K247" i="2"/>
  <c r="I247" i="2"/>
  <c r="H247" i="2"/>
  <c r="G247" i="2"/>
  <c r="F247" i="2"/>
  <c r="E247" i="2"/>
  <c r="D247" i="2"/>
  <c r="C247" i="2"/>
  <c r="B247" i="2"/>
  <c r="A247" i="2"/>
  <c r="M246" i="2"/>
  <c r="L246" i="2"/>
  <c r="K246" i="2"/>
  <c r="I246" i="2"/>
  <c r="H246" i="2"/>
  <c r="G246" i="2"/>
  <c r="F246" i="2"/>
  <c r="E246" i="2"/>
  <c r="D246" i="2"/>
  <c r="C246" i="2"/>
  <c r="B246" i="2"/>
  <c r="A246" i="2"/>
  <c r="J244" i="2"/>
  <c r="M243" i="2"/>
  <c r="L243" i="2"/>
  <c r="K243" i="2"/>
  <c r="I243" i="2"/>
  <c r="H243" i="2"/>
  <c r="G243" i="2"/>
  <c r="F243" i="2"/>
  <c r="E243" i="2"/>
  <c r="D243" i="2"/>
  <c r="C243" i="2"/>
  <c r="B243" i="2"/>
  <c r="A243" i="2"/>
  <c r="M242" i="2"/>
  <c r="L242" i="2"/>
  <c r="K242" i="2"/>
  <c r="I242" i="2"/>
  <c r="H242" i="2"/>
  <c r="G242" i="2"/>
  <c r="F242" i="2"/>
  <c r="E242" i="2"/>
  <c r="D242" i="2"/>
  <c r="C242" i="2"/>
  <c r="B242" i="2"/>
  <c r="A242" i="2"/>
  <c r="M241" i="2"/>
  <c r="L241" i="2"/>
  <c r="K241" i="2"/>
  <c r="I241" i="2"/>
  <c r="H241" i="2"/>
  <c r="G241" i="2"/>
  <c r="F241" i="2"/>
  <c r="E241" i="2"/>
  <c r="D241" i="2"/>
  <c r="C241" i="2"/>
  <c r="B241" i="2"/>
  <c r="A241" i="2"/>
  <c r="M240" i="2"/>
  <c r="L240" i="2"/>
  <c r="K240" i="2"/>
  <c r="I240" i="2"/>
  <c r="H240" i="2"/>
  <c r="G240" i="2"/>
  <c r="F240" i="2"/>
  <c r="E240" i="2"/>
  <c r="D240" i="2"/>
  <c r="C240" i="2"/>
  <c r="B240" i="2"/>
  <c r="A240" i="2"/>
  <c r="M239" i="2"/>
  <c r="L239" i="2"/>
  <c r="K239" i="2"/>
  <c r="I239" i="2"/>
  <c r="H239" i="2"/>
  <c r="G239" i="2"/>
  <c r="F239" i="2"/>
  <c r="E239" i="2"/>
  <c r="D239" i="2"/>
  <c r="C239" i="2"/>
  <c r="B239" i="2"/>
  <c r="A239" i="2"/>
  <c r="J237" i="2"/>
  <c r="M236" i="2"/>
  <c r="L236" i="2"/>
  <c r="K236" i="2"/>
  <c r="I236" i="2"/>
  <c r="H236" i="2"/>
  <c r="G236" i="2"/>
  <c r="F236" i="2"/>
  <c r="E236" i="2"/>
  <c r="D236" i="2"/>
  <c r="C236" i="2"/>
  <c r="B236" i="2"/>
  <c r="A236" i="2"/>
  <c r="M235" i="2"/>
  <c r="L235" i="2"/>
  <c r="K235" i="2"/>
  <c r="I235" i="2"/>
  <c r="H235" i="2"/>
  <c r="G235" i="2"/>
  <c r="F235" i="2"/>
  <c r="E235" i="2"/>
  <c r="D235" i="2"/>
  <c r="C235" i="2"/>
  <c r="B235" i="2"/>
  <c r="A235" i="2"/>
  <c r="M234" i="2"/>
  <c r="L234" i="2"/>
  <c r="K234" i="2"/>
  <c r="I234" i="2"/>
  <c r="H234" i="2"/>
  <c r="G234" i="2"/>
  <c r="F234" i="2"/>
  <c r="E234" i="2"/>
  <c r="D234" i="2"/>
  <c r="C234" i="2"/>
  <c r="B234" i="2"/>
  <c r="A234" i="2"/>
  <c r="M233" i="2"/>
  <c r="L233" i="2"/>
  <c r="K233" i="2"/>
  <c r="I233" i="2"/>
  <c r="H233" i="2"/>
  <c r="G233" i="2"/>
  <c r="F233" i="2"/>
  <c r="E233" i="2"/>
  <c r="D233" i="2"/>
  <c r="C233" i="2"/>
  <c r="B233" i="2"/>
  <c r="A233" i="2"/>
  <c r="M232" i="2"/>
  <c r="L232" i="2"/>
  <c r="K232" i="2"/>
  <c r="I232" i="2"/>
  <c r="H232" i="2"/>
  <c r="G232" i="2"/>
  <c r="F232" i="2"/>
  <c r="E232" i="2"/>
  <c r="D232" i="2"/>
  <c r="C232" i="2"/>
  <c r="B232" i="2"/>
  <c r="A232" i="2"/>
  <c r="M231" i="2"/>
  <c r="L231" i="2"/>
  <c r="K231" i="2"/>
  <c r="I231" i="2"/>
  <c r="H231" i="2"/>
  <c r="G231" i="2"/>
  <c r="F231" i="2"/>
  <c r="E231" i="2"/>
  <c r="D231" i="2"/>
  <c r="C231" i="2"/>
  <c r="B231" i="2"/>
  <c r="A231" i="2"/>
  <c r="J229" i="2"/>
  <c r="M228" i="2"/>
  <c r="L228" i="2"/>
  <c r="K228" i="2"/>
  <c r="I228" i="2"/>
  <c r="H228" i="2"/>
  <c r="G228" i="2"/>
  <c r="F228" i="2"/>
  <c r="E228" i="2"/>
  <c r="D228" i="2"/>
  <c r="C228" i="2"/>
  <c r="B228" i="2"/>
  <c r="A228" i="2"/>
  <c r="M227" i="2"/>
  <c r="L227" i="2"/>
  <c r="K227" i="2"/>
  <c r="I227" i="2"/>
  <c r="H227" i="2"/>
  <c r="G227" i="2"/>
  <c r="F227" i="2"/>
  <c r="E227" i="2"/>
  <c r="D227" i="2"/>
  <c r="C227" i="2"/>
  <c r="B227" i="2"/>
  <c r="A227" i="2"/>
  <c r="M226" i="2"/>
  <c r="L226" i="2"/>
  <c r="K226" i="2"/>
  <c r="I226" i="2"/>
  <c r="H226" i="2"/>
  <c r="G226" i="2"/>
  <c r="F226" i="2"/>
  <c r="E226" i="2"/>
  <c r="D226" i="2"/>
  <c r="C226" i="2"/>
  <c r="B226" i="2"/>
  <c r="A226" i="2"/>
  <c r="M225" i="2"/>
  <c r="L225" i="2"/>
  <c r="K225" i="2"/>
  <c r="I225" i="2"/>
  <c r="H225" i="2"/>
  <c r="G225" i="2"/>
  <c r="F225" i="2"/>
  <c r="E225" i="2"/>
  <c r="D225" i="2"/>
  <c r="C225" i="2"/>
  <c r="B225" i="2"/>
  <c r="A225" i="2"/>
  <c r="M224" i="2"/>
  <c r="L224" i="2"/>
  <c r="K224" i="2"/>
  <c r="I224" i="2"/>
  <c r="H224" i="2"/>
  <c r="G224" i="2"/>
  <c r="F224" i="2"/>
  <c r="E224" i="2"/>
  <c r="D224" i="2"/>
  <c r="C224" i="2"/>
  <c r="B224" i="2"/>
  <c r="A224" i="2"/>
  <c r="M223" i="2"/>
  <c r="L223" i="2"/>
  <c r="K223" i="2"/>
  <c r="I223" i="2"/>
  <c r="H223" i="2"/>
  <c r="G223" i="2"/>
  <c r="F223" i="2"/>
  <c r="E223" i="2"/>
  <c r="D223" i="2"/>
  <c r="C223" i="2"/>
  <c r="B223" i="2"/>
  <c r="A223" i="2"/>
  <c r="M222" i="2"/>
  <c r="L222" i="2"/>
  <c r="K222" i="2"/>
  <c r="I222" i="2"/>
  <c r="H222" i="2"/>
  <c r="G222" i="2"/>
  <c r="F222" i="2"/>
  <c r="E222" i="2"/>
  <c r="D222" i="2"/>
  <c r="C222" i="2"/>
  <c r="B222" i="2"/>
  <c r="A222" i="2"/>
  <c r="M221" i="2"/>
  <c r="L221" i="2"/>
  <c r="K221" i="2"/>
  <c r="I221" i="2"/>
  <c r="H221" i="2"/>
  <c r="G221" i="2"/>
  <c r="F221" i="2"/>
  <c r="E221" i="2"/>
  <c r="D221" i="2"/>
  <c r="C221" i="2"/>
  <c r="B221" i="2"/>
  <c r="A221" i="2"/>
  <c r="M220" i="2"/>
  <c r="L220" i="2"/>
  <c r="K220" i="2"/>
  <c r="I220" i="2"/>
  <c r="H220" i="2"/>
  <c r="G220" i="2"/>
  <c r="F220" i="2"/>
  <c r="E220" i="2"/>
  <c r="D220" i="2"/>
  <c r="C220" i="2"/>
  <c r="B220" i="2"/>
  <c r="A220" i="2"/>
  <c r="M219" i="2"/>
  <c r="L219" i="2"/>
  <c r="K219" i="2"/>
  <c r="I219" i="2"/>
  <c r="H219" i="2"/>
  <c r="G219" i="2"/>
  <c r="F219" i="2"/>
  <c r="E219" i="2"/>
  <c r="D219" i="2"/>
  <c r="C219" i="2"/>
  <c r="B219" i="2"/>
  <c r="A219" i="2"/>
  <c r="J217" i="2"/>
  <c r="M216" i="2"/>
  <c r="L216" i="2"/>
  <c r="K216" i="2"/>
  <c r="I216" i="2"/>
  <c r="H216" i="2"/>
  <c r="G216" i="2"/>
  <c r="F216" i="2"/>
  <c r="E216" i="2"/>
  <c r="D216" i="2"/>
  <c r="C216" i="2"/>
  <c r="B216" i="2"/>
  <c r="A216" i="2"/>
  <c r="M215" i="2"/>
  <c r="L215" i="2"/>
  <c r="K215" i="2"/>
  <c r="I215" i="2"/>
  <c r="H215" i="2"/>
  <c r="G215" i="2"/>
  <c r="F215" i="2"/>
  <c r="E215" i="2"/>
  <c r="D215" i="2"/>
  <c r="C215" i="2"/>
  <c r="B215" i="2"/>
  <c r="A215" i="2"/>
  <c r="M214" i="2"/>
  <c r="L214" i="2"/>
  <c r="K214" i="2"/>
  <c r="I214" i="2"/>
  <c r="H214" i="2"/>
  <c r="G214" i="2"/>
  <c r="F214" i="2"/>
  <c r="E214" i="2"/>
  <c r="D214" i="2"/>
  <c r="C214" i="2"/>
  <c r="B214" i="2"/>
  <c r="A214" i="2"/>
  <c r="M213" i="2"/>
  <c r="L213" i="2"/>
  <c r="K213" i="2"/>
  <c r="I213" i="2"/>
  <c r="H213" i="2"/>
  <c r="G213" i="2"/>
  <c r="F213" i="2"/>
  <c r="E213" i="2"/>
  <c r="D213" i="2"/>
  <c r="C213" i="2"/>
  <c r="B213" i="2"/>
  <c r="A213" i="2"/>
  <c r="M212" i="2"/>
  <c r="L212" i="2"/>
  <c r="K212" i="2"/>
  <c r="I212" i="2"/>
  <c r="H212" i="2"/>
  <c r="G212" i="2"/>
  <c r="F212" i="2"/>
  <c r="E212" i="2"/>
  <c r="D212" i="2"/>
  <c r="C212" i="2"/>
  <c r="B212" i="2"/>
  <c r="A212" i="2"/>
  <c r="M211" i="2"/>
  <c r="L211" i="2"/>
  <c r="K211" i="2"/>
  <c r="I211" i="2"/>
  <c r="H211" i="2"/>
  <c r="G211" i="2"/>
  <c r="F211" i="2"/>
  <c r="E211" i="2"/>
  <c r="D211" i="2"/>
  <c r="C211" i="2"/>
  <c r="B211" i="2"/>
  <c r="A211" i="2"/>
  <c r="J209" i="2"/>
  <c r="M208" i="2"/>
  <c r="L208" i="2"/>
  <c r="K208" i="2"/>
  <c r="I208" i="2"/>
  <c r="H208" i="2"/>
  <c r="G208" i="2"/>
  <c r="F208" i="2"/>
  <c r="E208" i="2"/>
  <c r="D208" i="2"/>
  <c r="C208" i="2"/>
  <c r="B208" i="2"/>
  <c r="A208" i="2"/>
  <c r="M207" i="2"/>
  <c r="L207" i="2"/>
  <c r="K207" i="2"/>
  <c r="I207" i="2"/>
  <c r="H207" i="2"/>
  <c r="G207" i="2"/>
  <c r="F207" i="2"/>
  <c r="E207" i="2"/>
  <c r="D207" i="2"/>
  <c r="C207" i="2"/>
  <c r="B207" i="2"/>
  <c r="A207" i="2"/>
  <c r="M206" i="2"/>
  <c r="L206" i="2"/>
  <c r="K206" i="2"/>
  <c r="I206" i="2"/>
  <c r="H206" i="2"/>
  <c r="G206" i="2"/>
  <c r="F206" i="2"/>
  <c r="E206" i="2"/>
  <c r="D206" i="2"/>
  <c r="C206" i="2"/>
  <c r="B206" i="2"/>
  <c r="A206" i="2"/>
  <c r="M205" i="2"/>
  <c r="L205" i="2"/>
  <c r="K205" i="2"/>
  <c r="I205" i="2"/>
  <c r="H205" i="2"/>
  <c r="G205" i="2"/>
  <c r="F205" i="2"/>
  <c r="E205" i="2"/>
  <c r="D205" i="2"/>
  <c r="C205" i="2"/>
  <c r="B205" i="2"/>
  <c r="A205" i="2"/>
  <c r="M204" i="2"/>
  <c r="L204" i="2"/>
  <c r="K204" i="2"/>
  <c r="I204" i="2"/>
  <c r="H204" i="2"/>
  <c r="G204" i="2"/>
  <c r="F204" i="2"/>
  <c r="E204" i="2"/>
  <c r="D204" i="2"/>
  <c r="C204" i="2"/>
  <c r="B204" i="2"/>
  <c r="A204" i="2"/>
  <c r="J202" i="2"/>
  <c r="M201" i="2"/>
  <c r="L201" i="2"/>
  <c r="K201" i="2"/>
  <c r="I201" i="2"/>
  <c r="H201" i="2"/>
  <c r="G201" i="2"/>
  <c r="F201" i="2"/>
  <c r="E201" i="2"/>
  <c r="D201" i="2"/>
  <c r="C201" i="2"/>
  <c r="B201" i="2"/>
  <c r="A201" i="2"/>
  <c r="M200" i="2"/>
  <c r="L200" i="2"/>
  <c r="K200" i="2"/>
  <c r="I200" i="2"/>
  <c r="H200" i="2"/>
  <c r="G200" i="2"/>
  <c r="F200" i="2"/>
  <c r="E200" i="2"/>
  <c r="D200" i="2"/>
  <c r="C200" i="2"/>
  <c r="B200" i="2"/>
  <c r="A200" i="2"/>
  <c r="M199" i="2"/>
  <c r="L199" i="2"/>
  <c r="K199" i="2"/>
  <c r="I199" i="2"/>
  <c r="H199" i="2"/>
  <c r="G199" i="2"/>
  <c r="F199" i="2"/>
  <c r="E199" i="2"/>
  <c r="D199" i="2"/>
  <c r="C199" i="2"/>
  <c r="B199" i="2"/>
  <c r="A199" i="2"/>
  <c r="M198" i="2"/>
  <c r="L198" i="2"/>
  <c r="K198" i="2"/>
  <c r="I198" i="2"/>
  <c r="H198" i="2"/>
  <c r="G198" i="2"/>
  <c r="F198" i="2"/>
  <c r="E198" i="2"/>
  <c r="D198" i="2"/>
  <c r="C198" i="2"/>
  <c r="B198" i="2"/>
  <c r="A198" i="2"/>
  <c r="M197" i="2"/>
  <c r="L197" i="2"/>
  <c r="K197" i="2"/>
  <c r="I197" i="2"/>
  <c r="H197" i="2"/>
  <c r="G197" i="2"/>
  <c r="F197" i="2"/>
  <c r="E197" i="2"/>
  <c r="D197" i="2"/>
  <c r="C197" i="2"/>
  <c r="B197" i="2"/>
  <c r="A197" i="2"/>
  <c r="M196" i="2"/>
  <c r="L196" i="2"/>
  <c r="K196" i="2"/>
  <c r="I196" i="2"/>
  <c r="H196" i="2"/>
  <c r="G196" i="2"/>
  <c r="F196" i="2"/>
  <c r="E196" i="2"/>
  <c r="D196" i="2"/>
  <c r="C196" i="2"/>
  <c r="B196" i="2"/>
  <c r="A196" i="2"/>
  <c r="M195" i="2"/>
  <c r="L195" i="2"/>
  <c r="K195" i="2"/>
  <c r="I195" i="2"/>
  <c r="H195" i="2"/>
  <c r="G195" i="2"/>
  <c r="F195" i="2"/>
  <c r="E195" i="2"/>
  <c r="D195" i="2"/>
  <c r="C195" i="2"/>
  <c r="B195" i="2"/>
  <c r="A195" i="2"/>
  <c r="M194" i="2"/>
  <c r="L194" i="2"/>
  <c r="K194" i="2"/>
  <c r="I194" i="2"/>
  <c r="H194" i="2"/>
  <c r="G194" i="2"/>
  <c r="F194" i="2"/>
  <c r="E194" i="2"/>
  <c r="D194" i="2"/>
  <c r="C194" i="2"/>
  <c r="B194" i="2"/>
  <c r="A194" i="2"/>
  <c r="M193" i="2"/>
  <c r="L193" i="2"/>
  <c r="K193" i="2"/>
  <c r="I193" i="2"/>
  <c r="H193" i="2"/>
  <c r="G193" i="2"/>
  <c r="F193" i="2"/>
  <c r="E193" i="2"/>
  <c r="D193" i="2"/>
  <c r="C193" i="2"/>
  <c r="B193" i="2"/>
  <c r="A193" i="2"/>
  <c r="M192" i="2"/>
  <c r="L192" i="2"/>
  <c r="K192" i="2"/>
  <c r="I192" i="2"/>
  <c r="H192" i="2"/>
  <c r="G192" i="2"/>
  <c r="F192" i="2"/>
  <c r="E192" i="2"/>
  <c r="D192" i="2"/>
  <c r="C192" i="2"/>
  <c r="B192" i="2"/>
  <c r="A192" i="2"/>
  <c r="M191" i="2"/>
  <c r="L191" i="2"/>
  <c r="K191" i="2"/>
  <c r="I191" i="2"/>
  <c r="H191" i="2"/>
  <c r="G191" i="2"/>
  <c r="F191" i="2"/>
  <c r="E191" i="2"/>
  <c r="D191" i="2"/>
  <c r="C191" i="2"/>
  <c r="B191" i="2"/>
  <c r="A191" i="2"/>
  <c r="J189" i="2"/>
  <c r="M188" i="2"/>
  <c r="K188" i="2"/>
  <c r="I188" i="2"/>
  <c r="H188" i="2"/>
  <c r="G188" i="2"/>
  <c r="F188" i="2"/>
  <c r="E188" i="2"/>
  <c r="D188" i="2"/>
  <c r="C188" i="2"/>
  <c r="B188" i="2"/>
  <c r="A188" i="2"/>
  <c r="M187" i="2"/>
  <c r="K187" i="2"/>
  <c r="I187" i="2"/>
  <c r="H187" i="2"/>
  <c r="G187" i="2"/>
  <c r="F187" i="2"/>
  <c r="E187" i="2"/>
  <c r="D187" i="2"/>
  <c r="C187" i="2"/>
  <c r="B187" i="2"/>
  <c r="A187" i="2"/>
  <c r="M186" i="2"/>
  <c r="K186" i="2"/>
  <c r="I186" i="2"/>
  <c r="H186" i="2"/>
  <c r="G186" i="2"/>
  <c r="F186" i="2"/>
  <c r="E186" i="2"/>
  <c r="D186" i="2"/>
  <c r="C186" i="2"/>
  <c r="B186" i="2"/>
  <c r="A186" i="2"/>
  <c r="M185" i="2"/>
  <c r="K185" i="2"/>
  <c r="I185" i="2"/>
  <c r="H185" i="2"/>
  <c r="G185" i="2"/>
  <c r="F185" i="2"/>
  <c r="E185" i="2"/>
  <c r="D185" i="2"/>
  <c r="C185" i="2"/>
  <c r="B185" i="2"/>
  <c r="A185" i="2"/>
  <c r="M184" i="2"/>
  <c r="K184" i="2"/>
  <c r="I184" i="2"/>
  <c r="H184" i="2"/>
  <c r="G184" i="2"/>
  <c r="F184" i="2"/>
  <c r="E184" i="2"/>
  <c r="D184" i="2"/>
  <c r="C184" i="2"/>
  <c r="B184" i="2"/>
  <c r="A184" i="2"/>
  <c r="M183" i="2"/>
  <c r="K183" i="2"/>
  <c r="I183" i="2"/>
  <c r="H183" i="2"/>
  <c r="G183" i="2"/>
  <c r="F183" i="2"/>
  <c r="E183" i="2"/>
  <c r="D183" i="2"/>
  <c r="C183" i="2"/>
  <c r="B183" i="2"/>
  <c r="A183" i="2"/>
  <c r="M182" i="2"/>
  <c r="K182" i="2"/>
  <c r="I182" i="2"/>
  <c r="H182" i="2"/>
  <c r="G182" i="2"/>
  <c r="F182" i="2"/>
  <c r="E182" i="2"/>
  <c r="D182" i="2"/>
  <c r="C182" i="2"/>
  <c r="B182" i="2"/>
  <c r="A182" i="2"/>
  <c r="M181" i="2"/>
  <c r="K181" i="2"/>
  <c r="I181" i="2"/>
  <c r="H181" i="2"/>
  <c r="G181" i="2"/>
  <c r="F181" i="2"/>
  <c r="E181" i="2"/>
  <c r="D181" i="2"/>
  <c r="C181" i="2"/>
  <c r="B181" i="2"/>
  <c r="A181" i="2"/>
  <c r="M180" i="2"/>
  <c r="K180" i="2"/>
  <c r="I180" i="2"/>
  <c r="H180" i="2"/>
  <c r="G180" i="2"/>
  <c r="F180" i="2"/>
  <c r="E180" i="2"/>
  <c r="D180" i="2"/>
  <c r="C180" i="2"/>
  <c r="B180" i="2"/>
  <c r="A180" i="2"/>
  <c r="M179" i="2"/>
  <c r="K179" i="2"/>
  <c r="I179" i="2"/>
  <c r="H179" i="2"/>
  <c r="G179" i="2"/>
  <c r="F179" i="2"/>
  <c r="E179" i="2"/>
  <c r="D179" i="2"/>
  <c r="C179" i="2"/>
  <c r="B179" i="2"/>
  <c r="A179" i="2"/>
  <c r="J177" i="2"/>
  <c r="M176" i="2"/>
  <c r="K176" i="2"/>
  <c r="I176" i="2"/>
  <c r="H176" i="2"/>
  <c r="G176" i="2"/>
  <c r="F176" i="2"/>
  <c r="E176" i="2"/>
  <c r="D176" i="2"/>
  <c r="C176" i="2"/>
  <c r="B176" i="2"/>
  <c r="A176" i="2"/>
  <c r="M175" i="2"/>
  <c r="K175" i="2"/>
  <c r="I175" i="2"/>
  <c r="H175" i="2"/>
  <c r="G175" i="2"/>
  <c r="F175" i="2"/>
  <c r="E175" i="2"/>
  <c r="D175" i="2"/>
  <c r="C175" i="2"/>
  <c r="B175" i="2"/>
  <c r="A175" i="2"/>
  <c r="M174" i="2"/>
  <c r="K174" i="2"/>
  <c r="I174" i="2"/>
  <c r="H174" i="2"/>
  <c r="G174" i="2"/>
  <c r="F174" i="2"/>
  <c r="E174" i="2"/>
  <c r="D174" i="2"/>
  <c r="C174" i="2"/>
  <c r="B174" i="2"/>
  <c r="A174" i="2"/>
  <c r="M173" i="2"/>
  <c r="K173" i="2"/>
  <c r="I173" i="2"/>
  <c r="H173" i="2"/>
  <c r="G173" i="2"/>
  <c r="F173" i="2"/>
  <c r="E173" i="2"/>
  <c r="D173" i="2"/>
  <c r="C173" i="2"/>
  <c r="B173" i="2"/>
  <c r="A173" i="2"/>
  <c r="M172" i="2"/>
  <c r="K172" i="2"/>
  <c r="I172" i="2"/>
  <c r="H172" i="2"/>
  <c r="G172" i="2"/>
  <c r="F172" i="2"/>
  <c r="E172" i="2"/>
  <c r="D172" i="2"/>
  <c r="C172" i="2"/>
  <c r="B172" i="2"/>
  <c r="A172" i="2"/>
  <c r="M171" i="2"/>
  <c r="K171" i="2"/>
  <c r="I171" i="2"/>
  <c r="H171" i="2"/>
  <c r="G171" i="2"/>
  <c r="F171" i="2"/>
  <c r="E171" i="2"/>
  <c r="D171" i="2"/>
  <c r="C171" i="2"/>
  <c r="B171" i="2"/>
  <c r="A171" i="2"/>
  <c r="M170" i="2"/>
  <c r="K170" i="2"/>
  <c r="I170" i="2"/>
  <c r="H170" i="2"/>
  <c r="G170" i="2"/>
  <c r="F170" i="2"/>
  <c r="E170" i="2"/>
  <c r="D170" i="2"/>
  <c r="C170" i="2"/>
  <c r="B170" i="2"/>
  <c r="A170" i="2"/>
  <c r="M169" i="2"/>
  <c r="K169" i="2"/>
  <c r="I169" i="2"/>
  <c r="H169" i="2"/>
  <c r="G169" i="2"/>
  <c r="F169" i="2"/>
  <c r="E169" i="2"/>
  <c r="D169" i="2"/>
  <c r="C169" i="2"/>
  <c r="B169" i="2"/>
  <c r="A169" i="2"/>
  <c r="M168" i="2"/>
  <c r="K168" i="2"/>
  <c r="I168" i="2"/>
  <c r="H168" i="2"/>
  <c r="G168" i="2"/>
  <c r="F168" i="2"/>
  <c r="E168" i="2"/>
  <c r="D168" i="2"/>
  <c r="C168" i="2"/>
  <c r="B168" i="2"/>
  <c r="A168" i="2"/>
  <c r="M167" i="2"/>
  <c r="K167" i="2"/>
  <c r="I167" i="2"/>
  <c r="H167" i="2"/>
  <c r="G167" i="2"/>
  <c r="F167" i="2"/>
  <c r="E167" i="2"/>
  <c r="D167" i="2"/>
  <c r="C167" i="2"/>
  <c r="B167" i="2"/>
  <c r="A167" i="2"/>
  <c r="M166" i="2"/>
  <c r="K166" i="2"/>
  <c r="I166" i="2"/>
  <c r="H166" i="2"/>
  <c r="G166" i="2"/>
  <c r="F166" i="2"/>
  <c r="E166" i="2"/>
  <c r="D166" i="2"/>
  <c r="C166" i="2"/>
  <c r="B166" i="2"/>
  <c r="A166" i="2"/>
  <c r="M165" i="2"/>
  <c r="K165" i="2"/>
  <c r="I165" i="2"/>
  <c r="H165" i="2"/>
  <c r="G165" i="2"/>
  <c r="F165" i="2"/>
  <c r="E165" i="2"/>
  <c r="D165" i="2"/>
  <c r="C165" i="2"/>
  <c r="B165" i="2"/>
  <c r="A165" i="2"/>
  <c r="M164" i="2"/>
  <c r="K164" i="2"/>
  <c r="I164" i="2"/>
  <c r="H164" i="2"/>
  <c r="G164" i="2"/>
  <c r="F164" i="2"/>
  <c r="E164" i="2"/>
  <c r="D164" i="2"/>
  <c r="C164" i="2"/>
  <c r="B164" i="2"/>
  <c r="A164" i="2"/>
  <c r="M163" i="2"/>
  <c r="K163" i="2"/>
  <c r="I163" i="2"/>
  <c r="H163" i="2"/>
  <c r="G163" i="2"/>
  <c r="F163" i="2"/>
  <c r="E163" i="2"/>
  <c r="D163" i="2"/>
  <c r="C163" i="2"/>
  <c r="B163" i="2"/>
  <c r="A163" i="2"/>
  <c r="M162" i="2"/>
  <c r="K162" i="2"/>
  <c r="I162" i="2"/>
  <c r="H162" i="2"/>
  <c r="G162" i="2"/>
  <c r="F162" i="2"/>
  <c r="E162" i="2"/>
  <c r="D162" i="2"/>
  <c r="C162" i="2"/>
  <c r="B162" i="2"/>
  <c r="A162" i="2"/>
  <c r="M160" i="2"/>
  <c r="L160" i="2"/>
  <c r="K160" i="2"/>
  <c r="I160" i="2"/>
  <c r="H160" i="2"/>
  <c r="G160" i="2"/>
  <c r="F160" i="2"/>
  <c r="E160" i="2"/>
  <c r="D160" i="2"/>
  <c r="C160" i="2"/>
  <c r="B160" i="2"/>
  <c r="A160" i="2"/>
  <c r="J158" i="2"/>
  <c r="M157" i="2"/>
  <c r="K157" i="2"/>
  <c r="I157" i="2"/>
  <c r="H157" i="2"/>
  <c r="G157" i="2"/>
  <c r="F157" i="2"/>
  <c r="E157" i="2"/>
  <c r="D157" i="2"/>
  <c r="C157" i="2"/>
  <c r="B157" i="2"/>
  <c r="A157" i="2"/>
  <c r="M156" i="2"/>
  <c r="K156" i="2"/>
  <c r="I156" i="2"/>
  <c r="H156" i="2"/>
  <c r="G156" i="2"/>
  <c r="F156" i="2"/>
  <c r="E156" i="2"/>
  <c r="D156" i="2"/>
  <c r="C156" i="2"/>
  <c r="B156" i="2"/>
  <c r="A156" i="2"/>
  <c r="M154" i="2"/>
  <c r="L154" i="2"/>
  <c r="K154" i="2"/>
  <c r="I154" i="2"/>
  <c r="H154" i="2"/>
  <c r="G154" i="2"/>
  <c r="F154" i="2"/>
  <c r="E154" i="2"/>
  <c r="D154" i="2"/>
  <c r="C154" i="2"/>
  <c r="B154" i="2"/>
  <c r="A154" i="2"/>
  <c r="M152" i="2"/>
  <c r="L152" i="2"/>
  <c r="K152" i="2"/>
  <c r="I152" i="2"/>
  <c r="H152" i="2"/>
  <c r="G152" i="2"/>
  <c r="F152" i="2"/>
  <c r="E152" i="2"/>
  <c r="D152" i="2"/>
  <c r="C152" i="2"/>
  <c r="B152" i="2"/>
  <c r="A152" i="2"/>
  <c r="M150" i="2"/>
  <c r="L150" i="2"/>
  <c r="K150" i="2"/>
  <c r="I150" i="2"/>
  <c r="H150" i="2"/>
  <c r="G150" i="2"/>
  <c r="F150" i="2"/>
  <c r="E150" i="2"/>
  <c r="D150" i="2"/>
  <c r="C150" i="2"/>
  <c r="B150" i="2"/>
  <c r="A150" i="2"/>
  <c r="M148" i="2"/>
  <c r="K148" i="2"/>
  <c r="I148" i="2"/>
  <c r="H148" i="2"/>
  <c r="G148" i="2"/>
  <c r="F148" i="2"/>
  <c r="E148" i="2"/>
  <c r="D148" i="2"/>
  <c r="C148" i="2"/>
  <c r="B148" i="2"/>
  <c r="A148" i="2"/>
  <c r="M146" i="2"/>
  <c r="L146" i="2"/>
  <c r="K146" i="2"/>
  <c r="I146" i="2"/>
  <c r="H146" i="2"/>
  <c r="G146" i="2"/>
  <c r="F146" i="2"/>
  <c r="E146" i="2"/>
  <c r="D146" i="2"/>
  <c r="C146" i="2"/>
  <c r="B146" i="2"/>
  <c r="A146" i="2"/>
  <c r="J144" i="2"/>
  <c r="M143" i="2"/>
  <c r="L143" i="2"/>
  <c r="K143" i="2"/>
  <c r="I143" i="2"/>
  <c r="H143" i="2"/>
  <c r="G143" i="2"/>
  <c r="F143" i="2"/>
  <c r="E143" i="2"/>
  <c r="D143" i="2"/>
  <c r="C143" i="2"/>
  <c r="B143" i="2"/>
  <c r="A143" i="2"/>
  <c r="M142" i="2"/>
  <c r="L142" i="2"/>
  <c r="K142" i="2"/>
  <c r="I142" i="2"/>
  <c r="H142" i="2"/>
  <c r="G142" i="2"/>
  <c r="F142" i="2"/>
  <c r="E142" i="2"/>
  <c r="D142" i="2"/>
  <c r="C142" i="2"/>
  <c r="B142" i="2"/>
  <c r="A142" i="2"/>
  <c r="M141" i="2"/>
  <c r="L141" i="2"/>
  <c r="K141" i="2"/>
  <c r="I141" i="2"/>
  <c r="H141" i="2"/>
  <c r="G141" i="2"/>
  <c r="F141" i="2"/>
  <c r="E141" i="2"/>
  <c r="D141" i="2"/>
  <c r="C141" i="2"/>
  <c r="B141" i="2"/>
  <c r="A141" i="2"/>
  <c r="M140" i="2"/>
  <c r="L140" i="2"/>
  <c r="K140" i="2"/>
  <c r="I140" i="2"/>
  <c r="H140" i="2"/>
  <c r="G140" i="2"/>
  <c r="F140" i="2"/>
  <c r="E140" i="2"/>
  <c r="D140" i="2"/>
  <c r="C140" i="2"/>
  <c r="B140" i="2"/>
  <c r="A140" i="2"/>
  <c r="M139" i="2"/>
  <c r="L139" i="2"/>
  <c r="K139" i="2"/>
  <c r="I139" i="2"/>
  <c r="H139" i="2"/>
  <c r="G139" i="2"/>
  <c r="F139" i="2"/>
  <c r="E139" i="2"/>
  <c r="D139" i="2"/>
  <c r="C139" i="2"/>
  <c r="B139" i="2"/>
  <c r="A139" i="2"/>
  <c r="M138" i="2"/>
  <c r="L138" i="2"/>
  <c r="K138" i="2"/>
  <c r="I138" i="2"/>
  <c r="H138" i="2"/>
  <c r="G138" i="2"/>
  <c r="F138" i="2"/>
  <c r="E138" i="2"/>
  <c r="D138" i="2"/>
  <c r="C138" i="2"/>
  <c r="B138" i="2"/>
  <c r="A138" i="2"/>
  <c r="J136" i="2"/>
  <c r="M135" i="2"/>
  <c r="L135" i="2"/>
  <c r="K135" i="2"/>
  <c r="I135" i="2"/>
  <c r="H135" i="2"/>
  <c r="G135" i="2"/>
  <c r="F135" i="2"/>
  <c r="E135" i="2"/>
  <c r="D135" i="2"/>
  <c r="C135" i="2"/>
  <c r="B135" i="2"/>
  <c r="A135" i="2"/>
  <c r="M134" i="2"/>
  <c r="L134" i="2"/>
  <c r="K134" i="2"/>
  <c r="I134" i="2"/>
  <c r="H134" i="2"/>
  <c r="G134" i="2"/>
  <c r="F134" i="2"/>
  <c r="E134" i="2"/>
  <c r="D134" i="2"/>
  <c r="C134" i="2"/>
  <c r="B134" i="2"/>
  <c r="A134" i="2"/>
  <c r="M133" i="2"/>
  <c r="L133" i="2"/>
  <c r="K133" i="2"/>
  <c r="I133" i="2"/>
  <c r="H133" i="2"/>
  <c r="G133" i="2"/>
  <c r="F133" i="2"/>
  <c r="E133" i="2"/>
  <c r="D133" i="2"/>
  <c r="C133" i="2"/>
  <c r="B133" i="2"/>
  <c r="A133" i="2"/>
  <c r="M132" i="2"/>
  <c r="L132" i="2"/>
  <c r="K132" i="2"/>
  <c r="I132" i="2"/>
  <c r="H132" i="2"/>
  <c r="G132" i="2"/>
  <c r="F132" i="2"/>
  <c r="E132" i="2"/>
  <c r="D132" i="2"/>
  <c r="C132" i="2"/>
  <c r="B132" i="2"/>
  <c r="A132" i="2"/>
  <c r="M131" i="2"/>
  <c r="L131" i="2"/>
  <c r="K131" i="2"/>
  <c r="I131" i="2"/>
  <c r="H131" i="2"/>
  <c r="G131" i="2"/>
  <c r="F131" i="2"/>
  <c r="E131" i="2"/>
  <c r="D131" i="2"/>
  <c r="C131" i="2"/>
  <c r="B131" i="2"/>
  <c r="A131" i="2"/>
  <c r="M130" i="2"/>
  <c r="L130" i="2"/>
  <c r="K130" i="2"/>
  <c r="I130" i="2"/>
  <c r="H130" i="2"/>
  <c r="G130" i="2"/>
  <c r="F130" i="2"/>
  <c r="E130" i="2"/>
  <c r="D130" i="2"/>
  <c r="C130" i="2"/>
  <c r="B130" i="2"/>
  <c r="A130" i="2"/>
  <c r="M129" i="2"/>
  <c r="L129" i="2"/>
  <c r="K129" i="2"/>
  <c r="I129" i="2"/>
  <c r="H129" i="2"/>
  <c r="G129" i="2"/>
  <c r="F129" i="2"/>
  <c r="E129" i="2"/>
  <c r="D129" i="2"/>
  <c r="C129" i="2"/>
  <c r="B129" i="2"/>
  <c r="A129" i="2"/>
  <c r="M128" i="2"/>
  <c r="L128" i="2"/>
  <c r="K128" i="2"/>
  <c r="I128" i="2"/>
  <c r="H128" i="2"/>
  <c r="G128" i="2"/>
  <c r="F128" i="2"/>
  <c r="E128" i="2"/>
  <c r="D128" i="2"/>
  <c r="C128" i="2"/>
  <c r="B128" i="2"/>
  <c r="A128" i="2"/>
  <c r="M127" i="2"/>
  <c r="L127" i="2"/>
  <c r="K127" i="2"/>
  <c r="I127" i="2"/>
  <c r="H127" i="2"/>
  <c r="G127" i="2"/>
  <c r="F127" i="2"/>
  <c r="E127" i="2"/>
  <c r="D127" i="2"/>
  <c r="C127" i="2"/>
  <c r="B127" i="2"/>
  <c r="A127" i="2"/>
  <c r="J125" i="2"/>
  <c r="M124" i="2"/>
  <c r="L124" i="2"/>
  <c r="K124" i="2"/>
  <c r="I124" i="2"/>
  <c r="H124" i="2"/>
  <c r="G124" i="2"/>
  <c r="F124" i="2"/>
  <c r="E124" i="2"/>
  <c r="D124" i="2"/>
  <c r="C124" i="2"/>
  <c r="B124" i="2"/>
  <c r="A124" i="2"/>
  <c r="M123" i="2"/>
  <c r="L123" i="2"/>
  <c r="K123" i="2"/>
  <c r="I123" i="2"/>
  <c r="H123" i="2"/>
  <c r="G123" i="2"/>
  <c r="F123" i="2"/>
  <c r="E123" i="2"/>
  <c r="D123" i="2"/>
  <c r="C123" i="2"/>
  <c r="B123" i="2"/>
  <c r="A123" i="2"/>
  <c r="M122" i="2"/>
  <c r="L122" i="2"/>
  <c r="K122" i="2"/>
  <c r="I122" i="2"/>
  <c r="H122" i="2"/>
  <c r="G122" i="2"/>
  <c r="F122" i="2"/>
  <c r="E122" i="2"/>
  <c r="D122" i="2"/>
  <c r="C122" i="2"/>
  <c r="B122" i="2"/>
  <c r="A122" i="2"/>
  <c r="J120" i="2"/>
  <c r="M119" i="2"/>
  <c r="L119" i="2"/>
  <c r="K119" i="2"/>
  <c r="I119" i="2"/>
  <c r="H119" i="2"/>
  <c r="G119" i="2"/>
  <c r="F119" i="2"/>
  <c r="E119" i="2"/>
  <c r="D119" i="2"/>
  <c r="C119" i="2"/>
  <c r="B119" i="2"/>
  <c r="A119" i="2"/>
  <c r="M118" i="2"/>
  <c r="L118" i="2"/>
  <c r="K118" i="2"/>
  <c r="I118" i="2"/>
  <c r="H118" i="2"/>
  <c r="G118" i="2"/>
  <c r="F118" i="2"/>
  <c r="E118" i="2"/>
  <c r="D118" i="2"/>
  <c r="C118" i="2"/>
  <c r="B118" i="2"/>
  <c r="A118" i="2"/>
  <c r="M117" i="2"/>
  <c r="L117" i="2"/>
  <c r="K117" i="2"/>
  <c r="I117" i="2"/>
  <c r="H117" i="2"/>
  <c r="G117" i="2"/>
  <c r="F117" i="2"/>
  <c r="E117" i="2"/>
  <c r="D117" i="2"/>
  <c r="C117" i="2"/>
  <c r="B117" i="2"/>
  <c r="A117" i="2"/>
  <c r="M116" i="2"/>
  <c r="L116" i="2"/>
  <c r="K116" i="2"/>
  <c r="I116" i="2"/>
  <c r="H116" i="2"/>
  <c r="G116" i="2"/>
  <c r="F116" i="2"/>
  <c r="E116" i="2"/>
  <c r="D116" i="2"/>
  <c r="C116" i="2"/>
  <c r="B116" i="2"/>
  <c r="A116" i="2"/>
  <c r="M115" i="2"/>
  <c r="L115" i="2"/>
  <c r="K115" i="2"/>
  <c r="I115" i="2"/>
  <c r="H115" i="2"/>
  <c r="G115" i="2"/>
  <c r="F115" i="2"/>
  <c r="E115" i="2"/>
  <c r="D115" i="2"/>
  <c r="C115" i="2"/>
  <c r="B115" i="2"/>
  <c r="A115" i="2"/>
  <c r="J113" i="2"/>
  <c r="M112" i="2"/>
  <c r="L112" i="2"/>
  <c r="K112" i="2"/>
  <c r="I112" i="2"/>
  <c r="H112" i="2"/>
  <c r="G112" i="2"/>
  <c r="F112" i="2"/>
  <c r="E112" i="2"/>
  <c r="D112" i="2"/>
  <c r="C112" i="2"/>
  <c r="B112" i="2"/>
  <c r="A112" i="2"/>
  <c r="M111" i="2"/>
  <c r="L111" i="2"/>
  <c r="K111" i="2"/>
  <c r="I111" i="2"/>
  <c r="H111" i="2"/>
  <c r="G111" i="2"/>
  <c r="F111" i="2"/>
  <c r="E111" i="2"/>
  <c r="D111" i="2"/>
  <c r="C111" i="2"/>
  <c r="B111" i="2"/>
  <c r="A111" i="2"/>
  <c r="M109" i="2"/>
  <c r="L109" i="2"/>
  <c r="K109" i="2"/>
  <c r="I109" i="2"/>
  <c r="H109" i="2"/>
  <c r="G109" i="2"/>
  <c r="F109" i="2"/>
  <c r="E109" i="2"/>
  <c r="D109" i="2"/>
  <c r="C109" i="2"/>
  <c r="B109" i="2"/>
  <c r="A109" i="2"/>
  <c r="M107" i="2"/>
  <c r="L107" i="2"/>
  <c r="K107" i="2"/>
  <c r="I107" i="2"/>
  <c r="H107" i="2"/>
  <c r="G107" i="2"/>
  <c r="F107" i="2"/>
  <c r="E107" i="2"/>
  <c r="D107" i="2"/>
  <c r="C107" i="2"/>
  <c r="B107" i="2"/>
  <c r="A107" i="2"/>
  <c r="J105" i="2"/>
  <c r="M104" i="2"/>
  <c r="L104" i="2"/>
  <c r="K104" i="2"/>
  <c r="I104" i="2"/>
  <c r="H104" i="2"/>
  <c r="G104" i="2"/>
  <c r="F104" i="2"/>
  <c r="E104" i="2"/>
  <c r="D104" i="2"/>
  <c r="C104" i="2"/>
  <c r="B104" i="2"/>
  <c r="A104" i="2"/>
  <c r="M103" i="2"/>
  <c r="L103" i="2"/>
  <c r="K103" i="2"/>
  <c r="I103" i="2"/>
  <c r="H103" i="2"/>
  <c r="G103" i="2"/>
  <c r="F103" i="2"/>
  <c r="E103" i="2"/>
  <c r="D103" i="2"/>
  <c r="C103" i="2"/>
  <c r="B103" i="2"/>
  <c r="A103" i="2"/>
  <c r="M102" i="2"/>
  <c r="L102" i="2"/>
  <c r="K102" i="2"/>
  <c r="I102" i="2"/>
  <c r="H102" i="2"/>
  <c r="G102" i="2"/>
  <c r="F102" i="2"/>
  <c r="E102" i="2"/>
  <c r="D102" i="2"/>
  <c r="C102" i="2"/>
  <c r="B102" i="2"/>
  <c r="A102" i="2"/>
  <c r="M101" i="2"/>
  <c r="L101" i="2"/>
  <c r="K101" i="2"/>
  <c r="I101" i="2"/>
  <c r="H101" i="2"/>
  <c r="G101" i="2"/>
  <c r="F101" i="2"/>
  <c r="E101" i="2"/>
  <c r="D101" i="2"/>
  <c r="C101" i="2"/>
  <c r="B101" i="2"/>
  <c r="A101" i="2"/>
  <c r="M100" i="2"/>
  <c r="L100" i="2"/>
  <c r="K100" i="2"/>
  <c r="I100" i="2"/>
  <c r="H100" i="2"/>
  <c r="G100" i="2"/>
  <c r="F100" i="2"/>
  <c r="E100" i="2"/>
  <c r="D100" i="2"/>
  <c r="C100" i="2"/>
  <c r="B100" i="2"/>
  <c r="A100" i="2"/>
  <c r="M99" i="2"/>
  <c r="L99" i="2"/>
  <c r="K99" i="2"/>
  <c r="I99" i="2"/>
  <c r="H99" i="2"/>
  <c r="G99" i="2"/>
  <c r="F99" i="2"/>
  <c r="E99" i="2"/>
  <c r="D99" i="2"/>
  <c r="C99" i="2"/>
  <c r="B99" i="2"/>
  <c r="A99" i="2"/>
  <c r="J97" i="2"/>
  <c r="M96" i="2"/>
  <c r="L96" i="2"/>
  <c r="K96" i="2"/>
  <c r="I96" i="2"/>
  <c r="H96" i="2"/>
  <c r="G96" i="2"/>
  <c r="F96" i="2"/>
  <c r="E96" i="2"/>
  <c r="D96" i="2"/>
  <c r="C96" i="2"/>
  <c r="B96" i="2"/>
  <c r="A96" i="2"/>
  <c r="M95" i="2"/>
  <c r="L95" i="2"/>
  <c r="K95" i="2"/>
  <c r="I95" i="2"/>
  <c r="H95" i="2"/>
  <c r="G95" i="2"/>
  <c r="F95" i="2"/>
  <c r="E95" i="2"/>
  <c r="D95" i="2"/>
  <c r="C95" i="2"/>
  <c r="B95" i="2"/>
  <c r="A95" i="2"/>
  <c r="M94" i="2"/>
  <c r="L94" i="2"/>
  <c r="K94" i="2"/>
  <c r="I94" i="2"/>
  <c r="H94" i="2"/>
  <c r="G94" i="2"/>
  <c r="F94" i="2"/>
  <c r="E94" i="2"/>
  <c r="D94" i="2"/>
  <c r="C94" i="2"/>
  <c r="B94" i="2"/>
  <c r="A94" i="2"/>
  <c r="M93" i="2"/>
  <c r="L93" i="2"/>
  <c r="K93" i="2"/>
  <c r="I93" i="2"/>
  <c r="H93" i="2"/>
  <c r="G93" i="2"/>
  <c r="F93" i="2"/>
  <c r="E93" i="2"/>
  <c r="D93" i="2"/>
  <c r="C93" i="2"/>
  <c r="B93" i="2"/>
  <c r="A93" i="2"/>
  <c r="M92" i="2"/>
  <c r="L92" i="2"/>
  <c r="K92" i="2"/>
  <c r="I92" i="2"/>
  <c r="H92" i="2"/>
  <c r="G92" i="2"/>
  <c r="F92" i="2"/>
  <c r="E92" i="2"/>
  <c r="D92" i="2"/>
  <c r="C92" i="2"/>
  <c r="B92" i="2"/>
  <c r="A92" i="2"/>
  <c r="M91" i="2"/>
  <c r="L91" i="2"/>
  <c r="K91" i="2"/>
  <c r="I91" i="2"/>
  <c r="H91" i="2"/>
  <c r="G91" i="2"/>
  <c r="F91" i="2"/>
  <c r="E91" i="2"/>
  <c r="D91" i="2"/>
  <c r="C91" i="2"/>
  <c r="B91" i="2"/>
  <c r="A91" i="2"/>
  <c r="M90" i="2"/>
  <c r="L90" i="2"/>
  <c r="K90" i="2"/>
  <c r="I90" i="2"/>
  <c r="H90" i="2"/>
  <c r="G90" i="2"/>
  <c r="F90" i="2"/>
  <c r="E90" i="2"/>
  <c r="D90" i="2"/>
  <c r="C90" i="2"/>
  <c r="B90" i="2"/>
  <c r="A90" i="2"/>
  <c r="M89" i="2"/>
  <c r="L89" i="2"/>
  <c r="K89" i="2"/>
  <c r="I89" i="2"/>
  <c r="H89" i="2"/>
  <c r="G89" i="2"/>
  <c r="F89" i="2"/>
  <c r="E89" i="2"/>
  <c r="D89" i="2"/>
  <c r="C89" i="2"/>
  <c r="B89" i="2"/>
  <c r="A89" i="2"/>
  <c r="M88" i="2"/>
  <c r="L88" i="2"/>
  <c r="K88" i="2"/>
  <c r="I88" i="2"/>
  <c r="H88" i="2"/>
  <c r="G88" i="2"/>
  <c r="F88" i="2"/>
  <c r="E88" i="2"/>
  <c r="D88" i="2"/>
  <c r="C88" i="2"/>
  <c r="B88" i="2"/>
  <c r="A88" i="2"/>
  <c r="M87" i="2"/>
  <c r="L87" i="2"/>
  <c r="K87" i="2"/>
  <c r="I87" i="2"/>
  <c r="H87" i="2"/>
  <c r="G87" i="2"/>
  <c r="F87" i="2"/>
  <c r="E87" i="2"/>
  <c r="D87" i="2"/>
  <c r="C87" i="2"/>
  <c r="B87" i="2"/>
  <c r="A87" i="2"/>
  <c r="M86" i="2"/>
  <c r="L86" i="2"/>
  <c r="K86" i="2"/>
  <c r="I86" i="2"/>
  <c r="H86" i="2"/>
  <c r="G86" i="2"/>
  <c r="F86" i="2"/>
  <c r="E86" i="2"/>
  <c r="D86" i="2"/>
  <c r="C86" i="2"/>
  <c r="B86" i="2"/>
  <c r="A86" i="2"/>
  <c r="J84" i="2"/>
  <c r="M83" i="2"/>
  <c r="L83" i="2"/>
  <c r="K83" i="2"/>
  <c r="I83" i="2"/>
  <c r="H83" i="2"/>
  <c r="G83" i="2"/>
  <c r="F83" i="2"/>
  <c r="E83" i="2"/>
  <c r="D83" i="2"/>
  <c r="C83" i="2"/>
  <c r="B83" i="2"/>
  <c r="A83" i="2"/>
  <c r="M82" i="2"/>
  <c r="L82" i="2"/>
  <c r="K82" i="2"/>
  <c r="I82" i="2"/>
  <c r="H82" i="2"/>
  <c r="G82" i="2"/>
  <c r="F82" i="2"/>
  <c r="E82" i="2"/>
  <c r="D82" i="2"/>
  <c r="C82" i="2"/>
  <c r="B82" i="2"/>
  <c r="A82" i="2"/>
  <c r="M81" i="2"/>
  <c r="L81" i="2"/>
  <c r="K81" i="2"/>
  <c r="I81" i="2"/>
  <c r="H81" i="2"/>
  <c r="G81" i="2"/>
  <c r="F81" i="2"/>
  <c r="E81" i="2"/>
  <c r="D81" i="2"/>
  <c r="C81" i="2"/>
  <c r="B81" i="2"/>
  <c r="A81" i="2"/>
  <c r="M79" i="2"/>
  <c r="L79" i="2"/>
  <c r="K79" i="2"/>
  <c r="I79" i="2"/>
  <c r="H79" i="2"/>
  <c r="G79" i="2"/>
  <c r="F79" i="2"/>
  <c r="E79" i="2"/>
  <c r="D79" i="2"/>
  <c r="C79" i="2"/>
  <c r="B79" i="2"/>
  <c r="A79" i="2"/>
  <c r="M77" i="2"/>
  <c r="L77" i="2"/>
  <c r="K77" i="2"/>
  <c r="I77" i="2"/>
  <c r="H77" i="2"/>
  <c r="G77" i="2"/>
  <c r="F77" i="2"/>
  <c r="E77" i="2"/>
  <c r="D77" i="2"/>
  <c r="C77" i="2"/>
  <c r="B77" i="2"/>
  <c r="A77" i="2"/>
  <c r="M75" i="2"/>
  <c r="L75" i="2"/>
  <c r="K75" i="2"/>
  <c r="I75" i="2"/>
  <c r="H75" i="2"/>
  <c r="G75" i="2"/>
  <c r="F75" i="2"/>
  <c r="E75" i="2"/>
  <c r="D75" i="2"/>
  <c r="C75" i="2"/>
  <c r="B75" i="2"/>
  <c r="A75" i="2"/>
  <c r="J73" i="2"/>
  <c r="M72" i="2"/>
  <c r="L72" i="2"/>
  <c r="K72" i="2"/>
  <c r="I72" i="2"/>
  <c r="H72" i="2"/>
  <c r="G72" i="2"/>
  <c r="F72" i="2"/>
  <c r="E72" i="2"/>
  <c r="D72" i="2"/>
  <c r="C72" i="2"/>
  <c r="B72" i="2"/>
  <c r="A72" i="2"/>
  <c r="M71" i="2"/>
  <c r="L71" i="2"/>
  <c r="K71" i="2"/>
  <c r="I71" i="2"/>
  <c r="H71" i="2"/>
  <c r="G71" i="2"/>
  <c r="F71" i="2"/>
  <c r="E71" i="2"/>
  <c r="D71" i="2"/>
  <c r="C71" i="2"/>
  <c r="B71" i="2"/>
  <c r="A71" i="2"/>
  <c r="M70" i="2"/>
  <c r="L70" i="2"/>
  <c r="K70" i="2"/>
  <c r="I70" i="2"/>
  <c r="H70" i="2"/>
  <c r="G70" i="2"/>
  <c r="F70" i="2"/>
  <c r="E70" i="2"/>
  <c r="D70" i="2"/>
  <c r="C70" i="2"/>
  <c r="B70" i="2"/>
  <c r="A70" i="2"/>
  <c r="M69" i="2"/>
  <c r="L69" i="2"/>
  <c r="K69" i="2"/>
  <c r="I69" i="2"/>
  <c r="H69" i="2"/>
  <c r="G69" i="2"/>
  <c r="F69" i="2"/>
  <c r="E69" i="2"/>
  <c r="D69" i="2"/>
  <c r="C69" i="2"/>
  <c r="B69" i="2"/>
  <c r="A69" i="2"/>
  <c r="M68" i="2"/>
  <c r="L68" i="2"/>
  <c r="K68" i="2"/>
  <c r="I68" i="2"/>
  <c r="H68" i="2"/>
  <c r="G68" i="2"/>
  <c r="F68" i="2"/>
  <c r="E68" i="2"/>
  <c r="D68" i="2"/>
  <c r="C68" i="2"/>
  <c r="B68" i="2"/>
  <c r="A68" i="2"/>
  <c r="M67" i="2"/>
  <c r="L67" i="2"/>
  <c r="K67" i="2"/>
  <c r="I67" i="2"/>
  <c r="H67" i="2"/>
  <c r="G67" i="2"/>
  <c r="F67" i="2"/>
  <c r="E67" i="2"/>
  <c r="D67" i="2"/>
  <c r="C67" i="2"/>
  <c r="B67" i="2"/>
  <c r="A67" i="2"/>
  <c r="M66" i="2"/>
  <c r="L66" i="2"/>
  <c r="K66" i="2"/>
  <c r="I66" i="2"/>
  <c r="H66" i="2"/>
  <c r="G66" i="2"/>
  <c r="F66" i="2"/>
  <c r="E66" i="2"/>
  <c r="D66" i="2"/>
  <c r="C66" i="2"/>
  <c r="B66" i="2"/>
  <c r="A66" i="2"/>
  <c r="J64" i="2"/>
  <c r="M63" i="2"/>
  <c r="L63" i="2"/>
  <c r="K63" i="2"/>
  <c r="I63" i="2"/>
  <c r="H63" i="2"/>
  <c r="G63" i="2"/>
  <c r="F63" i="2"/>
  <c r="E63" i="2"/>
  <c r="D63" i="2"/>
  <c r="C63" i="2"/>
  <c r="B63" i="2"/>
  <c r="A63" i="2"/>
  <c r="M62" i="2"/>
  <c r="L62" i="2"/>
  <c r="K62" i="2"/>
  <c r="I62" i="2"/>
  <c r="H62" i="2"/>
  <c r="G62" i="2"/>
  <c r="F62" i="2"/>
  <c r="E62" i="2"/>
  <c r="D62" i="2"/>
  <c r="C62" i="2"/>
  <c r="B62" i="2"/>
  <c r="A62" i="2"/>
  <c r="M61" i="2"/>
  <c r="L61" i="2"/>
  <c r="K61" i="2"/>
  <c r="I61" i="2"/>
  <c r="H61" i="2"/>
  <c r="G61" i="2"/>
  <c r="F61" i="2"/>
  <c r="E61" i="2"/>
  <c r="D61" i="2"/>
  <c r="C61" i="2"/>
  <c r="B61" i="2"/>
  <c r="A61" i="2"/>
  <c r="M60" i="2"/>
  <c r="L60" i="2"/>
  <c r="K60" i="2"/>
  <c r="I60" i="2"/>
  <c r="H60" i="2"/>
  <c r="G60" i="2"/>
  <c r="F60" i="2"/>
  <c r="E60" i="2"/>
  <c r="D60" i="2"/>
  <c r="C60" i="2"/>
  <c r="B60" i="2"/>
  <c r="A60" i="2"/>
  <c r="M59" i="2"/>
  <c r="L59" i="2"/>
  <c r="K59" i="2"/>
  <c r="I59" i="2"/>
  <c r="H59" i="2"/>
  <c r="G59" i="2"/>
  <c r="F59" i="2"/>
  <c r="E59" i="2"/>
  <c r="D59" i="2"/>
  <c r="C59" i="2"/>
  <c r="B59" i="2"/>
  <c r="A59" i="2"/>
  <c r="M58" i="2"/>
  <c r="L58" i="2"/>
  <c r="K58" i="2"/>
  <c r="I58" i="2"/>
  <c r="H58" i="2"/>
  <c r="G58" i="2"/>
  <c r="F58" i="2"/>
  <c r="E58" i="2"/>
  <c r="D58" i="2"/>
  <c r="C58" i="2"/>
  <c r="B58" i="2"/>
  <c r="A58" i="2"/>
  <c r="M57" i="2"/>
  <c r="L57" i="2"/>
  <c r="K57" i="2"/>
  <c r="I57" i="2"/>
  <c r="H57" i="2"/>
  <c r="G57" i="2"/>
  <c r="F57" i="2"/>
  <c r="E57" i="2"/>
  <c r="D57" i="2"/>
  <c r="C57" i="2"/>
  <c r="B57" i="2"/>
  <c r="A57" i="2"/>
  <c r="J55" i="2"/>
  <c r="M54" i="2"/>
  <c r="L54" i="2"/>
  <c r="K54" i="2"/>
  <c r="I54" i="2"/>
  <c r="H54" i="2"/>
  <c r="G54" i="2"/>
  <c r="F54" i="2"/>
  <c r="E54" i="2"/>
  <c r="D54" i="2"/>
  <c r="C54" i="2"/>
  <c r="B54" i="2"/>
  <c r="A54" i="2"/>
  <c r="M53" i="2"/>
  <c r="L53" i="2"/>
  <c r="K53" i="2"/>
  <c r="I53" i="2"/>
  <c r="H53" i="2"/>
  <c r="G53" i="2"/>
  <c r="F53" i="2"/>
  <c r="E53" i="2"/>
  <c r="D53" i="2"/>
  <c r="C53" i="2"/>
  <c r="B53" i="2"/>
  <c r="A53" i="2"/>
  <c r="M52" i="2"/>
  <c r="L52" i="2"/>
  <c r="K52" i="2"/>
  <c r="I52" i="2"/>
  <c r="H52" i="2"/>
  <c r="G52" i="2"/>
  <c r="F52" i="2"/>
  <c r="E52" i="2"/>
  <c r="D52" i="2"/>
  <c r="C52" i="2"/>
  <c r="B52" i="2"/>
  <c r="A52" i="2"/>
  <c r="M51" i="2"/>
  <c r="L51" i="2"/>
  <c r="K51" i="2"/>
  <c r="I51" i="2"/>
  <c r="H51" i="2"/>
  <c r="G51" i="2"/>
  <c r="F51" i="2"/>
  <c r="E51" i="2"/>
  <c r="D51" i="2"/>
  <c r="C51" i="2"/>
  <c r="B51" i="2"/>
  <c r="A51" i="2"/>
  <c r="J49" i="2"/>
  <c r="M48" i="2"/>
  <c r="L48" i="2"/>
  <c r="K48" i="2"/>
  <c r="I48" i="2"/>
  <c r="H48" i="2"/>
  <c r="G48" i="2"/>
  <c r="F48" i="2"/>
  <c r="E48" i="2"/>
  <c r="D48" i="2"/>
  <c r="C48" i="2"/>
  <c r="B48" i="2"/>
  <c r="A48" i="2"/>
  <c r="M47" i="2"/>
  <c r="L47" i="2"/>
  <c r="K47" i="2"/>
  <c r="I47" i="2"/>
  <c r="H47" i="2"/>
  <c r="G47" i="2"/>
  <c r="F47" i="2"/>
  <c r="E47" i="2"/>
  <c r="D47" i="2"/>
  <c r="C47" i="2"/>
  <c r="B47" i="2"/>
  <c r="A47" i="2"/>
  <c r="M46" i="2"/>
  <c r="L46" i="2"/>
  <c r="K46" i="2"/>
  <c r="I46" i="2"/>
  <c r="H46" i="2"/>
  <c r="G46" i="2"/>
  <c r="F46" i="2"/>
  <c r="E46" i="2"/>
  <c r="D46" i="2"/>
  <c r="C46" i="2"/>
  <c r="B46" i="2"/>
  <c r="A46" i="2"/>
  <c r="M45" i="2"/>
  <c r="L45" i="2"/>
  <c r="K45" i="2"/>
  <c r="I45" i="2"/>
  <c r="H45" i="2"/>
  <c r="G45" i="2"/>
  <c r="F45" i="2"/>
  <c r="E45" i="2"/>
  <c r="D45" i="2"/>
  <c r="C45" i="2"/>
  <c r="B45" i="2"/>
  <c r="A45" i="2"/>
  <c r="M43" i="2"/>
  <c r="L43" i="2"/>
  <c r="K43" i="2"/>
  <c r="I43" i="2"/>
  <c r="H43" i="2"/>
  <c r="G43" i="2"/>
  <c r="F43" i="2"/>
  <c r="E43" i="2"/>
  <c r="D43" i="2"/>
  <c r="C43" i="2"/>
  <c r="B43" i="2"/>
  <c r="A43" i="2"/>
  <c r="M41" i="2"/>
  <c r="L41" i="2"/>
  <c r="K41" i="2"/>
  <c r="I41" i="2"/>
  <c r="H41" i="2"/>
  <c r="G41" i="2"/>
  <c r="F41" i="2"/>
  <c r="E41" i="2"/>
  <c r="D41" i="2"/>
  <c r="C41" i="2"/>
  <c r="B41" i="2"/>
  <c r="A41" i="2"/>
  <c r="J39" i="2"/>
  <c r="M38" i="2"/>
  <c r="L38" i="2"/>
  <c r="K38" i="2"/>
  <c r="I38" i="2"/>
  <c r="H38" i="2"/>
  <c r="G38" i="2"/>
  <c r="F38" i="2"/>
  <c r="E38" i="2"/>
  <c r="D38" i="2"/>
  <c r="C38" i="2"/>
  <c r="B38" i="2"/>
  <c r="A38" i="2"/>
  <c r="M37" i="2"/>
  <c r="L37" i="2"/>
  <c r="K37" i="2"/>
  <c r="I37" i="2"/>
  <c r="H37" i="2"/>
  <c r="G37" i="2"/>
  <c r="F37" i="2"/>
  <c r="E37" i="2"/>
  <c r="D37" i="2"/>
  <c r="C37" i="2"/>
  <c r="B37" i="2"/>
  <c r="A37" i="2"/>
  <c r="M36" i="2"/>
  <c r="L36" i="2"/>
  <c r="K36" i="2"/>
  <c r="I36" i="2"/>
  <c r="H36" i="2"/>
  <c r="G36" i="2"/>
  <c r="F36" i="2"/>
  <c r="E36" i="2"/>
  <c r="D36" i="2"/>
  <c r="C36" i="2"/>
  <c r="B36" i="2"/>
  <c r="A36" i="2"/>
  <c r="J34" i="2"/>
  <c r="M33" i="2"/>
  <c r="L33" i="2"/>
  <c r="K33" i="2"/>
  <c r="I33" i="2"/>
  <c r="H33" i="2"/>
  <c r="G33" i="2"/>
  <c r="F33" i="2"/>
  <c r="E33" i="2"/>
  <c r="D33" i="2"/>
  <c r="C33" i="2"/>
  <c r="B33" i="2"/>
  <c r="A33" i="2"/>
  <c r="M32" i="2"/>
  <c r="L32" i="2"/>
  <c r="K32" i="2"/>
  <c r="I32" i="2"/>
  <c r="H32" i="2"/>
  <c r="G32" i="2"/>
  <c r="F32" i="2"/>
  <c r="E32" i="2"/>
  <c r="D32" i="2"/>
  <c r="C32" i="2"/>
  <c r="B32" i="2"/>
  <c r="A32" i="2"/>
  <c r="M31" i="2"/>
  <c r="L31" i="2"/>
  <c r="K31" i="2"/>
  <c r="I31" i="2"/>
  <c r="H31" i="2"/>
  <c r="G31" i="2"/>
  <c r="F31" i="2"/>
  <c r="E31" i="2"/>
  <c r="D31" i="2"/>
  <c r="C31" i="2"/>
  <c r="B31" i="2"/>
  <c r="A31" i="2"/>
  <c r="M30" i="2"/>
  <c r="L30" i="2"/>
  <c r="K30" i="2"/>
  <c r="I30" i="2"/>
  <c r="H30" i="2"/>
  <c r="G30" i="2"/>
  <c r="F30" i="2"/>
  <c r="E30" i="2"/>
  <c r="D30" i="2"/>
  <c r="C30" i="2"/>
  <c r="B30" i="2"/>
  <c r="A30" i="2"/>
  <c r="M29" i="2"/>
  <c r="L29" i="2"/>
  <c r="K29" i="2"/>
  <c r="I29" i="2"/>
  <c r="H29" i="2"/>
  <c r="G29" i="2"/>
  <c r="F29" i="2"/>
  <c r="E29" i="2"/>
  <c r="D29" i="2"/>
  <c r="C29" i="2"/>
  <c r="B29" i="2"/>
  <c r="A29" i="2"/>
  <c r="M28" i="2"/>
  <c r="L28" i="2"/>
  <c r="K28" i="2"/>
  <c r="I28" i="2"/>
  <c r="H28" i="2"/>
  <c r="G28" i="2"/>
  <c r="F28" i="2"/>
  <c r="E28" i="2"/>
  <c r="D28" i="2"/>
  <c r="C28" i="2"/>
  <c r="B28" i="2"/>
  <c r="A28" i="2"/>
  <c r="J26" i="2"/>
  <c r="M25" i="2"/>
  <c r="L25" i="2"/>
  <c r="K25" i="2"/>
  <c r="I25" i="2"/>
  <c r="H25" i="2"/>
  <c r="G25" i="2"/>
  <c r="F25" i="2"/>
  <c r="E25" i="2"/>
  <c r="D25" i="2"/>
  <c r="C25" i="2"/>
  <c r="B25" i="2"/>
  <c r="A25" i="2"/>
  <c r="M24" i="2"/>
  <c r="L24" i="2"/>
  <c r="K24" i="2"/>
  <c r="I24" i="2"/>
  <c r="H24" i="2"/>
  <c r="G24" i="2"/>
  <c r="F24" i="2"/>
  <c r="E24" i="2"/>
  <c r="D24" i="2"/>
  <c r="C24" i="2"/>
  <c r="B24" i="2"/>
  <c r="A24" i="2"/>
  <c r="M23" i="2"/>
  <c r="L23" i="2"/>
  <c r="K23" i="2"/>
  <c r="I23" i="2"/>
  <c r="H23" i="2"/>
  <c r="G23" i="2"/>
  <c r="F23" i="2"/>
  <c r="E23" i="2"/>
  <c r="D23" i="2"/>
  <c r="C23" i="2"/>
  <c r="B23" i="2"/>
  <c r="A23" i="2"/>
  <c r="M22" i="2"/>
  <c r="L22" i="2"/>
  <c r="K22" i="2"/>
  <c r="I22" i="2"/>
  <c r="H22" i="2"/>
  <c r="G22" i="2"/>
  <c r="F22" i="2"/>
  <c r="E22" i="2"/>
  <c r="D22" i="2"/>
  <c r="C22" i="2"/>
  <c r="B22" i="2"/>
  <c r="A22" i="2"/>
  <c r="M21" i="2"/>
  <c r="L21" i="2"/>
  <c r="K21" i="2"/>
  <c r="I21" i="2"/>
  <c r="H21" i="2"/>
  <c r="G21" i="2"/>
  <c r="F21" i="2"/>
  <c r="E21" i="2"/>
  <c r="D21" i="2"/>
  <c r="C21" i="2"/>
  <c r="B21" i="2"/>
  <c r="A21" i="2"/>
  <c r="M20" i="2"/>
  <c r="L20" i="2"/>
  <c r="K20" i="2"/>
  <c r="I20" i="2"/>
  <c r="H20" i="2"/>
  <c r="G20" i="2"/>
  <c r="F20" i="2"/>
  <c r="E20" i="2"/>
  <c r="D20" i="2"/>
  <c r="C20" i="2"/>
  <c r="B20" i="2"/>
  <c r="A20" i="2"/>
  <c r="J18" i="2"/>
  <c r="M17" i="2"/>
  <c r="L17" i="2"/>
  <c r="K17" i="2"/>
  <c r="I17" i="2"/>
  <c r="H17" i="2"/>
  <c r="G17" i="2"/>
  <c r="F17" i="2"/>
  <c r="E17" i="2"/>
  <c r="D17" i="2"/>
  <c r="C17" i="2"/>
  <c r="B17" i="2"/>
  <c r="A17" i="2"/>
  <c r="M16" i="2"/>
  <c r="L16" i="2"/>
  <c r="K16" i="2"/>
  <c r="I16" i="2"/>
  <c r="H16" i="2"/>
  <c r="G16" i="2"/>
  <c r="F16" i="2"/>
  <c r="E16" i="2"/>
  <c r="D16" i="2"/>
  <c r="C16" i="2"/>
  <c r="B16" i="2"/>
  <c r="A16" i="2"/>
  <c r="M15" i="2"/>
  <c r="L15" i="2"/>
  <c r="K15" i="2"/>
  <c r="I15" i="2"/>
  <c r="H15" i="2"/>
  <c r="G15" i="2"/>
  <c r="F15" i="2"/>
  <c r="E15" i="2"/>
  <c r="D15" i="2"/>
  <c r="C15" i="2"/>
  <c r="B15" i="2"/>
  <c r="A15" i="2"/>
  <c r="M14" i="2"/>
  <c r="L14" i="2"/>
  <c r="K14" i="2"/>
  <c r="I14" i="2"/>
  <c r="H14" i="2"/>
  <c r="G14" i="2"/>
  <c r="F14" i="2"/>
  <c r="E14" i="2"/>
  <c r="D14" i="2"/>
  <c r="C14" i="2"/>
  <c r="B14" i="2"/>
  <c r="A14" i="2"/>
  <c r="M12" i="2"/>
  <c r="L12" i="2"/>
  <c r="K12" i="2"/>
  <c r="I12" i="2"/>
  <c r="H12" i="2"/>
  <c r="G12" i="2"/>
  <c r="F12" i="2"/>
  <c r="E12" i="2"/>
  <c r="D12" i="2"/>
  <c r="C12" i="2"/>
  <c r="B12" i="2"/>
  <c r="A12" i="2"/>
  <c r="I1279" i="1"/>
  <c r="H1279" i="1"/>
  <c r="L1278" i="1"/>
  <c r="K1278" i="1"/>
  <c r="J1278" i="1"/>
  <c r="G1278" i="1"/>
  <c r="F1278" i="1"/>
  <c r="E1278" i="1"/>
  <c r="D1278" i="1"/>
  <c r="C1278" i="1"/>
  <c r="B1278" i="1"/>
  <c r="A1278" i="1"/>
  <c r="L1277" i="1"/>
  <c r="K1277" i="1"/>
  <c r="J1277" i="1"/>
  <c r="G1277" i="1"/>
  <c r="F1277" i="1"/>
  <c r="E1277" i="1"/>
  <c r="D1277" i="1"/>
  <c r="C1277" i="1"/>
  <c r="B1277" i="1"/>
  <c r="A1277" i="1"/>
  <c r="I1275" i="1"/>
  <c r="H1275" i="1"/>
  <c r="M1274" i="1"/>
  <c r="L1274" i="1"/>
  <c r="K1274" i="1"/>
  <c r="J1274" i="1"/>
  <c r="G1274" i="1"/>
  <c r="F1274" i="1"/>
  <c r="E1274" i="1"/>
  <c r="D1274" i="1"/>
  <c r="C1274" i="1"/>
  <c r="B1274" i="1"/>
  <c r="A1274" i="1"/>
  <c r="M1273" i="1"/>
  <c r="L1273" i="1"/>
  <c r="K1273" i="1"/>
  <c r="J1273" i="1"/>
  <c r="G1273" i="1"/>
  <c r="F1273" i="1"/>
  <c r="E1273" i="1"/>
  <c r="D1273" i="1"/>
  <c r="C1273" i="1"/>
  <c r="B1273" i="1"/>
  <c r="A1273" i="1"/>
  <c r="M1272" i="1"/>
  <c r="L1272" i="1"/>
  <c r="K1272" i="1"/>
  <c r="J1272" i="1"/>
  <c r="G1272" i="1"/>
  <c r="F1272" i="1"/>
  <c r="E1272" i="1"/>
  <c r="D1272" i="1"/>
  <c r="C1272" i="1"/>
  <c r="B1272" i="1"/>
  <c r="A1272" i="1"/>
  <c r="M1271" i="1"/>
  <c r="L1271" i="1"/>
  <c r="K1271" i="1"/>
  <c r="J1271" i="1"/>
  <c r="G1271" i="1"/>
  <c r="F1271" i="1"/>
  <c r="E1271" i="1"/>
  <c r="D1271" i="1"/>
  <c r="C1271" i="1"/>
  <c r="B1271" i="1"/>
  <c r="A1271" i="1"/>
  <c r="M1270" i="1"/>
  <c r="L1270" i="1"/>
  <c r="K1270" i="1"/>
  <c r="J1270" i="1"/>
  <c r="G1270" i="1"/>
  <c r="F1270" i="1"/>
  <c r="E1270" i="1"/>
  <c r="D1270" i="1"/>
  <c r="C1270" i="1"/>
  <c r="B1270" i="1"/>
  <c r="A1270" i="1"/>
  <c r="M1269" i="1"/>
  <c r="L1269" i="1"/>
  <c r="K1269" i="1"/>
  <c r="J1269" i="1"/>
  <c r="G1269" i="1"/>
  <c r="F1269" i="1"/>
  <c r="E1269" i="1"/>
  <c r="D1269" i="1"/>
  <c r="C1269" i="1"/>
  <c r="B1269" i="1"/>
  <c r="A1269" i="1"/>
  <c r="M1268" i="1"/>
  <c r="L1268" i="1"/>
  <c r="K1268" i="1"/>
  <c r="J1268" i="1"/>
  <c r="G1268" i="1"/>
  <c r="F1268" i="1"/>
  <c r="E1268" i="1"/>
  <c r="D1268" i="1"/>
  <c r="C1268" i="1"/>
  <c r="B1268" i="1"/>
  <c r="A1268" i="1"/>
  <c r="M1267" i="1"/>
  <c r="L1267" i="1"/>
  <c r="K1267" i="1"/>
  <c r="J1267" i="1"/>
  <c r="G1267" i="1"/>
  <c r="F1267" i="1"/>
  <c r="E1267" i="1"/>
  <c r="D1267" i="1"/>
  <c r="C1267" i="1"/>
  <c r="B1267" i="1"/>
  <c r="A1267" i="1"/>
  <c r="M1266" i="1"/>
  <c r="L1266" i="1"/>
  <c r="K1266" i="1"/>
  <c r="J1266" i="1"/>
  <c r="G1266" i="1"/>
  <c r="F1266" i="1"/>
  <c r="E1266" i="1"/>
  <c r="D1266" i="1"/>
  <c r="C1266" i="1"/>
  <c r="B1266" i="1"/>
  <c r="A1266" i="1"/>
  <c r="M1265" i="1"/>
  <c r="L1265" i="1"/>
  <c r="K1265" i="1"/>
  <c r="J1265" i="1"/>
  <c r="G1265" i="1"/>
  <c r="F1265" i="1"/>
  <c r="E1265" i="1"/>
  <c r="D1265" i="1"/>
  <c r="C1265" i="1"/>
  <c r="B1265" i="1"/>
  <c r="A1265" i="1"/>
  <c r="I1263" i="1"/>
  <c r="H1263" i="1"/>
  <c r="M1262" i="1"/>
  <c r="L1262" i="1"/>
  <c r="K1262" i="1"/>
  <c r="J1262" i="1"/>
  <c r="G1262" i="1"/>
  <c r="F1262" i="1"/>
  <c r="E1262" i="1"/>
  <c r="D1262" i="1"/>
  <c r="C1262" i="1"/>
  <c r="B1262" i="1"/>
  <c r="A1262" i="1"/>
  <c r="M1261" i="1"/>
  <c r="L1261" i="1"/>
  <c r="K1261" i="1"/>
  <c r="J1261" i="1"/>
  <c r="G1261" i="1"/>
  <c r="F1261" i="1"/>
  <c r="E1261" i="1"/>
  <c r="D1261" i="1"/>
  <c r="C1261" i="1"/>
  <c r="B1261" i="1"/>
  <c r="A1261" i="1"/>
  <c r="M1259" i="1"/>
  <c r="L1259" i="1"/>
  <c r="K1259" i="1"/>
  <c r="J1259" i="1"/>
  <c r="I1259" i="1"/>
  <c r="G1259" i="1"/>
  <c r="F1259" i="1"/>
  <c r="E1259" i="1"/>
  <c r="D1259" i="1"/>
  <c r="C1259" i="1"/>
  <c r="B1259" i="1"/>
  <c r="A1259" i="1"/>
  <c r="I1257" i="1"/>
  <c r="H1257" i="1"/>
  <c r="M1256" i="1"/>
  <c r="L1256" i="1"/>
  <c r="K1256" i="1"/>
  <c r="J1256" i="1"/>
  <c r="G1256" i="1"/>
  <c r="F1256" i="1"/>
  <c r="E1256" i="1"/>
  <c r="D1256" i="1"/>
  <c r="C1256" i="1"/>
  <c r="B1256" i="1"/>
  <c r="A1256" i="1"/>
  <c r="M1255" i="1"/>
  <c r="L1255" i="1"/>
  <c r="K1255" i="1"/>
  <c r="J1255" i="1"/>
  <c r="G1255" i="1"/>
  <c r="F1255" i="1"/>
  <c r="E1255" i="1"/>
  <c r="D1255" i="1"/>
  <c r="C1255" i="1"/>
  <c r="B1255" i="1"/>
  <c r="A1255" i="1"/>
  <c r="M1254" i="1"/>
  <c r="L1254" i="1"/>
  <c r="K1254" i="1"/>
  <c r="J1254" i="1"/>
  <c r="G1254" i="1"/>
  <c r="F1254" i="1"/>
  <c r="E1254" i="1"/>
  <c r="D1254" i="1"/>
  <c r="C1254" i="1"/>
  <c r="B1254" i="1"/>
  <c r="A1254" i="1"/>
  <c r="L1253" i="1"/>
  <c r="K1253" i="1"/>
  <c r="J1253" i="1"/>
  <c r="G1253" i="1"/>
  <c r="F1253" i="1"/>
  <c r="E1253" i="1"/>
  <c r="D1253" i="1"/>
  <c r="C1253" i="1"/>
  <c r="B1253" i="1"/>
  <c r="A1253" i="1"/>
  <c r="M1251" i="1"/>
  <c r="I1251" i="1"/>
  <c r="H1251" i="1"/>
  <c r="M1250" i="1"/>
  <c r="L1250" i="1"/>
  <c r="K1250" i="1"/>
  <c r="J1250" i="1"/>
  <c r="G1250" i="1"/>
  <c r="F1250" i="1"/>
  <c r="E1250" i="1"/>
  <c r="D1250" i="1"/>
  <c r="C1250" i="1"/>
  <c r="B1250" i="1"/>
  <c r="A1250" i="1"/>
  <c r="M1249" i="1"/>
  <c r="L1249" i="1"/>
  <c r="K1249" i="1"/>
  <c r="J1249" i="1"/>
  <c r="G1249" i="1"/>
  <c r="F1249" i="1"/>
  <c r="E1249" i="1"/>
  <c r="D1249" i="1"/>
  <c r="C1249" i="1"/>
  <c r="B1249" i="1"/>
  <c r="A1249" i="1"/>
  <c r="L1248" i="1"/>
  <c r="K1248" i="1"/>
  <c r="J1248" i="1"/>
  <c r="G1248" i="1"/>
  <c r="F1248" i="1"/>
  <c r="E1248" i="1"/>
  <c r="D1248" i="1"/>
  <c r="C1248" i="1"/>
  <c r="B1248" i="1"/>
  <c r="A1248" i="1"/>
  <c r="M1247" i="1"/>
  <c r="L1246" i="1"/>
  <c r="K1246" i="1"/>
  <c r="J1246" i="1"/>
  <c r="I1246" i="1"/>
  <c r="G1246" i="1"/>
  <c r="F1246" i="1"/>
  <c r="E1246" i="1"/>
  <c r="D1246" i="1"/>
  <c r="C1246" i="1"/>
  <c r="B1246" i="1"/>
  <c r="A1246" i="1"/>
  <c r="M1244" i="1"/>
  <c r="I1244" i="1"/>
  <c r="H1244" i="1"/>
  <c r="M1243" i="1"/>
  <c r="L1243" i="1"/>
  <c r="K1243" i="1"/>
  <c r="J1243" i="1"/>
  <c r="G1243" i="1"/>
  <c r="F1243" i="1"/>
  <c r="E1243" i="1"/>
  <c r="D1243" i="1"/>
  <c r="C1243" i="1"/>
  <c r="B1243" i="1"/>
  <c r="A1243" i="1"/>
  <c r="M1242" i="1"/>
  <c r="L1242" i="1"/>
  <c r="K1242" i="1"/>
  <c r="J1242" i="1"/>
  <c r="G1242" i="1"/>
  <c r="F1242" i="1"/>
  <c r="E1242" i="1"/>
  <c r="D1242" i="1"/>
  <c r="C1242" i="1"/>
  <c r="B1242" i="1"/>
  <c r="A1242" i="1"/>
  <c r="L1241" i="1"/>
  <c r="K1241" i="1"/>
  <c r="J1241" i="1"/>
  <c r="G1241" i="1"/>
  <c r="F1241" i="1"/>
  <c r="E1241" i="1"/>
  <c r="D1241" i="1"/>
  <c r="C1241" i="1"/>
  <c r="B1241" i="1"/>
  <c r="A1241" i="1"/>
  <c r="M1239" i="1"/>
  <c r="I1239" i="1"/>
  <c r="H1239" i="1"/>
  <c r="M1238" i="1"/>
  <c r="L1238" i="1"/>
  <c r="K1238" i="1"/>
  <c r="J1238" i="1"/>
  <c r="G1238" i="1"/>
  <c r="F1238" i="1"/>
  <c r="E1238" i="1"/>
  <c r="D1238" i="1"/>
  <c r="C1238" i="1"/>
  <c r="B1238" i="1"/>
  <c r="A1238" i="1"/>
  <c r="M1237" i="1"/>
  <c r="L1237" i="1"/>
  <c r="K1237" i="1"/>
  <c r="J1237" i="1"/>
  <c r="G1237" i="1"/>
  <c r="F1237" i="1"/>
  <c r="E1237" i="1"/>
  <c r="D1237" i="1"/>
  <c r="C1237" i="1"/>
  <c r="B1237" i="1"/>
  <c r="A1237" i="1"/>
  <c r="M1236" i="1"/>
  <c r="L1236" i="1"/>
  <c r="K1236" i="1"/>
  <c r="J1236" i="1"/>
  <c r="G1236" i="1"/>
  <c r="F1236" i="1"/>
  <c r="E1236" i="1"/>
  <c r="D1236" i="1"/>
  <c r="C1236" i="1"/>
  <c r="B1236" i="1"/>
  <c r="A1236" i="1"/>
  <c r="M1235" i="1"/>
  <c r="L1235" i="1"/>
  <c r="K1235" i="1"/>
  <c r="J1235" i="1"/>
  <c r="G1235" i="1"/>
  <c r="F1235" i="1"/>
  <c r="E1235" i="1"/>
  <c r="D1235" i="1"/>
  <c r="C1235" i="1"/>
  <c r="B1235" i="1"/>
  <c r="A1235" i="1"/>
  <c r="M1234" i="1"/>
  <c r="L1234" i="1"/>
  <c r="K1234" i="1"/>
  <c r="J1234" i="1"/>
  <c r="G1234" i="1"/>
  <c r="F1234" i="1"/>
  <c r="E1234" i="1"/>
  <c r="D1234" i="1"/>
  <c r="C1234" i="1"/>
  <c r="B1234" i="1"/>
  <c r="A1234" i="1"/>
  <c r="M1233" i="1"/>
  <c r="L1233" i="1"/>
  <c r="K1233" i="1"/>
  <c r="J1233" i="1"/>
  <c r="G1233" i="1"/>
  <c r="F1233" i="1"/>
  <c r="E1233" i="1"/>
  <c r="D1233" i="1"/>
  <c r="C1233" i="1"/>
  <c r="B1233" i="1"/>
  <c r="A1233" i="1"/>
  <c r="M1232" i="1"/>
  <c r="L1232" i="1"/>
  <c r="K1232" i="1"/>
  <c r="J1232" i="1"/>
  <c r="G1232" i="1"/>
  <c r="F1232" i="1"/>
  <c r="E1232" i="1"/>
  <c r="D1232" i="1"/>
  <c r="C1232" i="1"/>
  <c r="B1232" i="1"/>
  <c r="A1232" i="1"/>
  <c r="M1231" i="1"/>
  <c r="L1231" i="1"/>
  <c r="K1231" i="1"/>
  <c r="J1231" i="1"/>
  <c r="G1231" i="1"/>
  <c r="F1231" i="1"/>
  <c r="E1231" i="1"/>
  <c r="D1231" i="1"/>
  <c r="C1231" i="1"/>
  <c r="B1231" i="1"/>
  <c r="A1231" i="1"/>
  <c r="M1230" i="1"/>
  <c r="L1230" i="1"/>
  <c r="K1230" i="1"/>
  <c r="J1230" i="1"/>
  <c r="G1230" i="1"/>
  <c r="F1230" i="1"/>
  <c r="E1230" i="1"/>
  <c r="D1230" i="1"/>
  <c r="C1230" i="1"/>
  <c r="B1230" i="1"/>
  <c r="A1230" i="1"/>
  <c r="M1229" i="1"/>
  <c r="L1229" i="1"/>
  <c r="K1229" i="1"/>
  <c r="J1229" i="1"/>
  <c r="G1229" i="1"/>
  <c r="F1229" i="1"/>
  <c r="E1229" i="1"/>
  <c r="D1229" i="1"/>
  <c r="C1229" i="1"/>
  <c r="B1229" i="1"/>
  <c r="A1229" i="1"/>
  <c r="M1228" i="1"/>
  <c r="L1228" i="1"/>
  <c r="K1228" i="1"/>
  <c r="J1228" i="1"/>
  <c r="G1228" i="1"/>
  <c r="F1228" i="1"/>
  <c r="E1228" i="1"/>
  <c r="D1228" i="1"/>
  <c r="C1228" i="1"/>
  <c r="B1228" i="1"/>
  <c r="A1228" i="1"/>
  <c r="M1227" i="1"/>
  <c r="L1227" i="1"/>
  <c r="K1227" i="1"/>
  <c r="J1227" i="1"/>
  <c r="G1227" i="1"/>
  <c r="F1227" i="1"/>
  <c r="E1227" i="1"/>
  <c r="D1227" i="1"/>
  <c r="C1227" i="1"/>
  <c r="B1227" i="1"/>
  <c r="A1227" i="1"/>
  <c r="M1226" i="1"/>
  <c r="L1226" i="1"/>
  <c r="K1226" i="1"/>
  <c r="J1226" i="1"/>
  <c r="G1226" i="1"/>
  <c r="F1226" i="1"/>
  <c r="E1226" i="1"/>
  <c r="D1226" i="1"/>
  <c r="C1226" i="1"/>
  <c r="B1226" i="1"/>
  <c r="A1226" i="1"/>
  <c r="M1225" i="1"/>
  <c r="L1225" i="1"/>
  <c r="K1225" i="1"/>
  <c r="J1225" i="1"/>
  <c r="G1225" i="1"/>
  <c r="F1225" i="1"/>
  <c r="E1225" i="1"/>
  <c r="D1225" i="1"/>
  <c r="C1225" i="1"/>
  <c r="B1225" i="1"/>
  <c r="A1225" i="1"/>
  <c r="M1224" i="1"/>
  <c r="L1224" i="1"/>
  <c r="K1224" i="1"/>
  <c r="J1224" i="1"/>
  <c r="G1224" i="1"/>
  <c r="F1224" i="1"/>
  <c r="E1224" i="1"/>
  <c r="D1224" i="1"/>
  <c r="C1224" i="1"/>
  <c r="B1224" i="1"/>
  <c r="A1224" i="1"/>
  <c r="M1223" i="1"/>
  <c r="L1223" i="1"/>
  <c r="K1223" i="1"/>
  <c r="J1223" i="1"/>
  <c r="G1223" i="1"/>
  <c r="F1223" i="1"/>
  <c r="E1223" i="1"/>
  <c r="D1223" i="1"/>
  <c r="C1223" i="1"/>
  <c r="B1223" i="1"/>
  <c r="A1223" i="1"/>
  <c r="M1222" i="1"/>
  <c r="L1222" i="1"/>
  <c r="K1222" i="1"/>
  <c r="J1222" i="1"/>
  <c r="G1222" i="1"/>
  <c r="F1222" i="1"/>
  <c r="E1222" i="1"/>
  <c r="D1222" i="1"/>
  <c r="C1222" i="1"/>
  <c r="B1222" i="1"/>
  <c r="A1222" i="1"/>
  <c r="L1221" i="1"/>
  <c r="K1221" i="1"/>
  <c r="J1221" i="1"/>
  <c r="G1221" i="1"/>
  <c r="F1221" i="1"/>
  <c r="E1221" i="1"/>
  <c r="D1221" i="1"/>
  <c r="C1221" i="1"/>
  <c r="B1221" i="1"/>
  <c r="A1221" i="1"/>
  <c r="M1218" i="1"/>
  <c r="I1218" i="1"/>
  <c r="H1218" i="1"/>
  <c r="M1217" i="1"/>
  <c r="L1217" i="1"/>
  <c r="K1217" i="1"/>
  <c r="J1217" i="1"/>
  <c r="G1217" i="1"/>
  <c r="F1217" i="1"/>
  <c r="E1217" i="1"/>
  <c r="D1217" i="1"/>
  <c r="C1217" i="1"/>
  <c r="B1217" i="1"/>
  <c r="A1217" i="1"/>
  <c r="M1216" i="1"/>
  <c r="K1216" i="1"/>
  <c r="J1216" i="1"/>
  <c r="G1216" i="1"/>
  <c r="F1216" i="1"/>
  <c r="E1216" i="1"/>
  <c r="D1216" i="1"/>
  <c r="C1216" i="1"/>
  <c r="B1216" i="1"/>
  <c r="A1216" i="1"/>
  <c r="M1215" i="1"/>
  <c r="K1215" i="1"/>
  <c r="J1215" i="1"/>
  <c r="G1215" i="1"/>
  <c r="F1215" i="1"/>
  <c r="E1215" i="1"/>
  <c r="D1215" i="1"/>
  <c r="C1215" i="1"/>
  <c r="B1215" i="1"/>
  <c r="A1215" i="1"/>
  <c r="M1214" i="1"/>
  <c r="K1214" i="1"/>
  <c r="J1214" i="1"/>
  <c r="G1214" i="1"/>
  <c r="F1214" i="1"/>
  <c r="E1214" i="1"/>
  <c r="D1214" i="1"/>
  <c r="C1214" i="1"/>
  <c r="B1214" i="1"/>
  <c r="A1214" i="1"/>
  <c r="M1213" i="1"/>
  <c r="K1213" i="1"/>
  <c r="J1213" i="1"/>
  <c r="G1213" i="1"/>
  <c r="F1213" i="1"/>
  <c r="E1213" i="1"/>
  <c r="D1213" i="1"/>
  <c r="C1213" i="1"/>
  <c r="B1213" i="1"/>
  <c r="A1213" i="1"/>
  <c r="M1212" i="1"/>
  <c r="K1212" i="1"/>
  <c r="J1212" i="1"/>
  <c r="G1212" i="1"/>
  <c r="F1212" i="1"/>
  <c r="E1212" i="1"/>
  <c r="D1212" i="1"/>
  <c r="C1212" i="1"/>
  <c r="B1212" i="1"/>
  <c r="A1212" i="1"/>
  <c r="M1211" i="1"/>
  <c r="K1211" i="1"/>
  <c r="J1211" i="1"/>
  <c r="G1211" i="1"/>
  <c r="F1211" i="1"/>
  <c r="E1211" i="1"/>
  <c r="D1211" i="1"/>
  <c r="C1211" i="1"/>
  <c r="B1211" i="1"/>
  <c r="A1211" i="1"/>
  <c r="M1210" i="1"/>
  <c r="K1210" i="1"/>
  <c r="J1210" i="1"/>
  <c r="G1210" i="1"/>
  <c r="F1210" i="1"/>
  <c r="E1210" i="1"/>
  <c r="D1210" i="1"/>
  <c r="C1210" i="1"/>
  <c r="B1210" i="1"/>
  <c r="A1210" i="1"/>
  <c r="M1209" i="1"/>
  <c r="K1209" i="1"/>
  <c r="J1209" i="1"/>
  <c r="G1209" i="1"/>
  <c r="F1209" i="1"/>
  <c r="E1209" i="1"/>
  <c r="D1209" i="1"/>
  <c r="C1209" i="1"/>
  <c r="B1209" i="1"/>
  <c r="A1209" i="1"/>
  <c r="M1208" i="1"/>
  <c r="K1208" i="1"/>
  <c r="J1208" i="1"/>
  <c r="G1208" i="1"/>
  <c r="F1208" i="1"/>
  <c r="E1208" i="1"/>
  <c r="D1208" i="1"/>
  <c r="C1208" i="1"/>
  <c r="B1208" i="1"/>
  <c r="A1208" i="1"/>
  <c r="M1207" i="1"/>
  <c r="K1207" i="1"/>
  <c r="J1207" i="1"/>
  <c r="G1207" i="1"/>
  <c r="F1207" i="1"/>
  <c r="E1207" i="1"/>
  <c r="D1207" i="1"/>
  <c r="C1207" i="1"/>
  <c r="B1207" i="1"/>
  <c r="A1207" i="1"/>
  <c r="M1206" i="1"/>
  <c r="K1206" i="1"/>
  <c r="J1206" i="1"/>
  <c r="G1206" i="1"/>
  <c r="F1206" i="1"/>
  <c r="E1206" i="1"/>
  <c r="D1206" i="1"/>
  <c r="C1206" i="1"/>
  <c r="B1206" i="1"/>
  <c r="A1206" i="1"/>
  <c r="M1205" i="1"/>
  <c r="K1205" i="1"/>
  <c r="J1205" i="1"/>
  <c r="G1205" i="1"/>
  <c r="F1205" i="1"/>
  <c r="E1205" i="1"/>
  <c r="D1205" i="1"/>
  <c r="C1205" i="1"/>
  <c r="B1205" i="1"/>
  <c r="A1205" i="1"/>
  <c r="M1204" i="1"/>
  <c r="K1204" i="1"/>
  <c r="J1204" i="1"/>
  <c r="G1204" i="1"/>
  <c r="F1204" i="1"/>
  <c r="E1204" i="1"/>
  <c r="D1204" i="1"/>
  <c r="C1204" i="1"/>
  <c r="B1204" i="1"/>
  <c r="A1204" i="1"/>
  <c r="M1203" i="1"/>
  <c r="K1203" i="1"/>
  <c r="J1203" i="1"/>
  <c r="G1203" i="1"/>
  <c r="F1203" i="1"/>
  <c r="E1203" i="1"/>
  <c r="D1203" i="1"/>
  <c r="C1203" i="1"/>
  <c r="B1203" i="1"/>
  <c r="A1203" i="1"/>
  <c r="M1202" i="1"/>
  <c r="K1202" i="1"/>
  <c r="J1202" i="1"/>
  <c r="G1202" i="1"/>
  <c r="F1202" i="1"/>
  <c r="E1202" i="1"/>
  <c r="D1202" i="1"/>
  <c r="C1202" i="1"/>
  <c r="B1202" i="1"/>
  <c r="A1202" i="1"/>
  <c r="M1201" i="1"/>
  <c r="K1201" i="1"/>
  <c r="J1201" i="1"/>
  <c r="G1201" i="1"/>
  <c r="F1201" i="1"/>
  <c r="E1201" i="1"/>
  <c r="D1201" i="1"/>
  <c r="C1201" i="1"/>
  <c r="B1201" i="1"/>
  <c r="A1201" i="1"/>
  <c r="M1200" i="1"/>
  <c r="K1200" i="1"/>
  <c r="J1200" i="1"/>
  <c r="G1200" i="1"/>
  <c r="F1200" i="1"/>
  <c r="E1200" i="1"/>
  <c r="D1200" i="1"/>
  <c r="C1200" i="1"/>
  <c r="B1200" i="1"/>
  <c r="A1200" i="1"/>
  <c r="M1199" i="1"/>
  <c r="K1199" i="1"/>
  <c r="J1199" i="1"/>
  <c r="G1199" i="1"/>
  <c r="F1199" i="1"/>
  <c r="E1199" i="1"/>
  <c r="D1199" i="1"/>
  <c r="C1199" i="1"/>
  <c r="B1199" i="1"/>
  <c r="A1199" i="1"/>
  <c r="M1198" i="1"/>
  <c r="K1198" i="1"/>
  <c r="J1198" i="1"/>
  <c r="G1198" i="1"/>
  <c r="F1198" i="1"/>
  <c r="E1198" i="1"/>
  <c r="D1198" i="1"/>
  <c r="C1198" i="1"/>
  <c r="B1198" i="1"/>
  <c r="A1198" i="1"/>
  <c r="M1197" i="1"/>
  <c r="K1197" i="1"/>
  <c r="J1197" i="1"/>
  <c r="G1197" i="1"/>
  <c r="F1197" i="1"/>
  <c r="E1197" i="1"/>
  <c r="D1197" i="1"/>
  <c r="C1197" i="1"/>
  <c r="B1197" i="1"/>
  <c r="A1197" i="1"/>
  <c r="M1196" i="1"/>
  <c r="K1196" i="1"/>
  <c r="J1196" i="1"/>
  <c r="G1196" i="1"/>
  <c r="F1196" i="1"/>
  <c r="E1196" i="1"/>
  <c r="D1196" i="1"/>
  <c r="C1196" i="1"/>
  <c r="B1196" i="1"/>
  <c r="A1196" i="1"/>
  <c r="M1195" i="1"/>
  <c r="K1195" i="1"/>
  <c r="J1195" i="1"/>
  <c r="G1195" i="1"/>
  <c r="F1195" i="1"/>
  <c r="E1195" i="1"/>
  <c r="D1195" i="1"/>
  <c r="C1195" i="1"/>
  <c r="B1195" i="1"/>
  <c r="A1195" i="1"/>
  <c r="M1194" i="1"/>
  <c r="K1194" i="1"/>
  <c r="J1194" i="1"/>
  <c r="G1194" i="1"/>
  <c r="F1194" i="1"/>
  <c r="E1194" i="1"/>
  <c r="D1194" i="1"/>
  <c r="C1194" i="1"/>
  <c r="B1194" i="1"/>
  <c r="A1194" i="1"/>
  <c r="M1193" i="1"/>
  <c r="K1193" i="1"/>
  <c r="J1193" i="1"/>
  <c r="G1193" i="1"/>
  <c r="F1193" i="1"/>
  <c r="E1193" i="1"/>
  <c r="D1193" i="1"/>
  <c r="C1193" i="1"/>
  <c r="B1193" i="1"/>
  <c r="A1193" i="1"/>
  <c r="M1192" i="1"/>
  <c r="K1192" i="1"/>
  <c r="J1192" i="1"/>
  <c r="G1192" i="1"/>
  <c r="F1192" i="1"/>
  <c r="E1192" i="1"/>
  <c r="D1192" i="1"/>
  <c r="C1192" i="1"/>
  <c r="B1192" i="1"/>
  <c r="A1192" i="1"/>
  <c r="M1191" i="1"/>
  <c r="K1191" i="1"/>
  <c r="J1191" i="1"/>
  <c r="G1191" i="1"/>
  <c r="F1191" i="1"/>
  <c r="E1191" i="1"/>
  <c r="D1191" i="1"/>
  <c r="C1191" i="1"/>
  <c r="B1191" i="1"/>
  <c r="A1191" i="1"/>
  <c r="M1190" i="1"/>
  <c r="K1190" i="1"/>
  <c r="J1190" i="1"/>
  <c r="G1190" i="1"/>
  <c r="F1190" i="1"/>
  <c r="E1190" i="1"/>
  <c r="D1190" i="1"/>
  <c r="C1190" i="1"/>
  <c r="B1190" i="1"/>
  <c r="A1190" i="1"/>
  <c r="M1189" i="1"/>
  <c r="K1189" i="1"/>
  <c r="J1189" i="1"/>
  <c r="G1189" i="1"/>
  <c r="F1189" i="1"/>
  <c r="E1189" i="1"/>
  <c r="D1189" i="1"/>
  <c r="C1189" i="1"/>
  <c r="B1189" i="1"/>
  <c r="A1189" i="1"/>
  <c r="M1188" i="1"/>
  <c r="K1188" i="1"/>
  <c r="J1188" i="1"/>
  <c r="G1188" i="1"/>
  <c r="F1188" i="1"/>
  <c r="E1188" i="1"/>
  <c r="D1188" i="1"/>
  <c r="C1188" i="1"/>
  <c r="B1188" i="1"/>
  <c r="A1188" i="1"/>
  <c r="M1187" i="1"/>
  <c r="K1187" i="1"/>
  <c r="J1187" i="1"/>
  <c r="G1187" i="1"/>
  <c r="F1187" i="1"/>
  <c r="E1187" i="1"/>
  <c r="D1187" i="1"/>
  <c r="C1187" i="1"/>
  <c r="B1187" i="1"/>
  <c r="A1187" i="1"/>
  <c r="M1186" i="1"/>
  <c r="K1186" i="1"/>
  <c r="J1186" i="1"/>
  <c r="G1186" i="1"/>
  <c r="F1186" i="1"/>
  <c r="E1186" i="1"/>
  <c r="D1186" i="1"/>
  <c r="C1186" i="1"/>
  <c r="B1186" i="1"/>
  <c r="A1186" i="1"/>
  <c r="M1185" i="1"/>
  <c r="K1185" i="1"/>
  <c r="J1185" i="1"/>
  <c r="G1185" i="1"/>
  <c r="F1185" i="1"/>
  <c r="E1185" i="1"/>
  <c r="D1185" i="1"/>
  <c r="C1185" i="1"/>
  <c r="B1185" i="1"/>
  <c r="A1185" i="1"/>
  <c r="M1184" i="1"/>
  <c r="K1184" i="1"/>
  <c r="J1184" i="1"/>
  <c r="G1184" i="1"/>
  <c r="F1184" i="1"/>
  <c r="E1184" i="1"/>
  <c r="D1184" i="1"/>
  <c r="C1184" i="1"/>
  <c r="B1184" i="1"/>
  <c r="A1184" i="1"/>
  <c r="M1183" i="1"/>
  <c r="K1183" i="1"/>
  <c r="J1183" i="1"/>
  <c r="G1183" i="1"/>
  <c r="F1183" i="1"/>
  <c r="E1183" i="1"/>
  <c r="D1183" i="1"/>
  <c r="C1183" i="1"/>
  <c r="B1183" i="1"/>
  <c r="A1183" i="1"/>
  <c r="M1182" i="1"/>
  <c r="K1182" i="1"/>
  <c r="J1182" i="1"/>
  <c r="G1182" i="1"/>
  <c r="F1182" i="1"/>
  <c r="E1182" i="1"/>
  <c r="D1182" i="1"/>
  <c r="C1182" i="1"/>
  <c r="B1182" i="1"/>
  <c r="A1182" i="1"/>
  <c r="K1181" i="1"/>
  <c r="J1181" i="1"/>
  <c r="G1181" i="1"/>
  <c r="F1181" i="1"/>
  <c r="E1181" i="1"/>
  <c r="D1181" i="1"/>
  <c r="C1181" i="1"/>
  <c r="B1181" i="1"/>
  <c r="A1181" i="1"/>
  <c r="M1179" i="1"/>
  <c r="I1179" i="1"/>
  <c r="H1179" i="1"/>
  <c r="M1178" i="1"/>
  <c r="L1178" i="1"/>
  <c r="K1178" i="1"/>
  <c r="J1178" i="1"/>
  <c r="G1178" i="1"/>
  <c r="F1178" i="1"/>
  <c r="E1178" i="1"/>
  <c r="D1178" i="1"/>
  <c r="C1178" i="1"/>
  <c r="B1178" i="1"/>
  <c r="A1178" i="1"/>
  <c r="M1177" i="1"/>
  <c r="L1177" i="1"/>
  <c r="K1177" i="1"/>
  <c r="J1177" i="1"/>
  <c r="G1177" i="1"/>
  <c r="F1177" i="1"/>
  <c r="E1177" i="1"/>
  <c r="D1177" i="1"/>
  <c r="C1177" i="1"/>
  <c r="B1177" i="1"/>
  <c r="A1177" i="1"/>
  <c r="M1176" i="1"/>
  <c r="L1176" i="1"/>
  <c r="K1176" i="1"/>
  <c r="J1176" i="1"/>
  <c r="G1176" i="1"/>
  <c r="F1176" i="1"/>
  <c r="E1176" i="1"/>
  <c r="D1176" i="1"/>
  <c r="C1176" i="1"/>
  <c r="B1176" i="1"/>
  <c r="A1176" i="1"/>
  <c r="M1175" i="1"/>
  <c r="L1175" i="1"/>
  <c r="K1175" i="1"/>
  <c r="J1175" i="1"/>
  <c r="G1175" i="1"/>
  <c r="F1175" i="1"/>
  <c r="E1175" i="1"/>
  <c r="D1175" i="1"/>
  <c r="C1175" i="1"/>
  <c r="B1175" i="1"/>
  <c r="A1175" i="1"/>
  <c r="M1174" i="1"/>
  <c r="L1174" i="1"/>
  <c r="K1174" i="1"/>
  <c r="J1174" i="1"/>
  <c r="G1174" i="1"/>
  <c r="F1174" i="1"/>
  <c r="E1174" i="1"/>
  <c r="D1174" i="1"/>
  <c r="C1174" i="1"/>
  <c r="B1174" i="1"/>
  <c r="A1174" i="1"/>
  <c r="M1173" i="1"/>
  <c r="L1173" i="1"/>
  <c r="K1173" i="1"/>
  <c r="J1173" i="1"/>
  <c r="G1173" i="1"/>
  <c r="F1173" i="1"/>
  <c r="E1173" i="1"/>
  <c r="D1173" i="1"/>
  <c r="C1173" i="1"/>
  <c r="B1173" i="1"/>
  <c r="A1173" i="1"/>
  <c r="M1172" i="1"/>
  <c r="L1172" i="1"/>
  <c r="K1172" i="1"/>
  <c r="J1172" i="1"/>
  <c r="G1172" i="1"/>
  <c r="F1172" i="1"/>
  <c r="E1172" i="1"/>
  <c r="D1172" i="1"/>
  <c r="C1172" i="1"/>
  <c r="B1172" i="1"/>
  <c r="A1172" i="1"/>
  <c r="M1171" i="1"/>
  <c r="L1171" i="1"/>
  <c r="K1171" i="1"/>
  <c r="J1171" i="1"/>
  <c r="G1171" i="1"/>
  <c r="F1171" i="1"/>
  <c r="E1171" i="1"/>
  <c r="D1171" i="1"/>
  <c r="C1171" i="1"/>
  <c r="B1171" i="1"/>
  <c r="A1171" i="1"/>
  <c r="M1170" i="1"/>
  <c r="L1170" i="1"/>
  <c r="K1170" i="1"/>
  <c r="J1170" i="1"/>
  <c r="G1170" i="1"/>
  <c r="F1170" i="1"/>
  <c r="E1170" i="1"/>
  <c r="D1170" i="1"/>
  <c r="C1170" i="1"/>
  <c r="B1170" i="1"/>
  <c r="A1170" i="1"/>
  <c r="M1169" i="1"/>
  <c r="L1169" i="1"/>
  <c r="K1169" i="1"/>
  <c r="J1169" i="1"/>
  <c r="G1169" i="1"/>
  <c r="F1169" i="1"/>
  <c r="E1169" i="1"/>
  <c r="D1169" i="1"/>
  <c r="C1169" i="1"/>
  <c r="B1169" i="1"/>
  <c r="A1169" i="1"/>
  <c r="M1168" i="1"/>
  <c r="L1168" i="1"/>
  <c r="K1168" i="1"/>
  <c r="J1168" i="1"/>
  <c r="G1168" i="1"/>
  <c r="F1168" i="1"/>
  <c r="E1168" i="1"/>
  <c r="D1168" i="1"/>
  <c r="C1168" i="1"/>
  <c r="B1168" i="1"/>
  <c r="A1168" i="1"/>
  <c r="M1167" i="1"/>
  <c r="L1167" i="1"/>
  <c r="K1167" i="1"/>
  <c r="J1167" i="1"/>
  <c r="G1167" i="1"/>
  <c r="F1167" i="1"/>
  <c r="E1167" i="1"/>
  <c r="D1167" i="1"/>
  <c r="C1167" i="1"/>
  <c r="B1167" i="1"/>
  <c r="A1167" i="1"/>
  <c r="M1166" i="1"/>
  <c r="L1166" i="1"/>
  <c r="K1166" i="1"/>
  <c r="J1166" i="1"/>
  <c r="G1166" i="1"/>
  <c r="F1166" i="1"/>
  <c r="E1166" i="1"/>
  <c r="D1166" i="1"/>
  <c r="C1166" i="1"/>
  <c r="B1166" i="1"/>
  <c r="A1166" i="1"/>
  <c r="M1165" i="1"/>
  <c r="L1165" i="1"/>
  <c r="K1165" i="1"/>
  <c r="J1165" i="1"/>
  <c r="G1165" i="1"/>
  <c r="F1165" i="1"/>
  <c r="E1165" i="1"/>
  <c r="D1165" i="1"/>
  <c r="C1165" i="1"/>
  <c r="B1165" i="1"/>
  <c r="A1165" i="1"/>
  <c r="M1164" i="1"/>
  <c r="L1164" i="1"/>
  <c r="K1164" i="1"/>
  <c r="J1164" i="1"/>
  <c r="G1164" i="1"/>
  <c r="F1164" i="1"/>
  <c r="E1164" i="1"/>
  <c r="D1164" i="1"/>
  <c r="C1164" i="1"/>
  <c r="B1164" i="1"/>
  <c r="A1164" i="1"/>
  <c r="M1163" i="1"/>
  <c r="L1163" i="1"/>
  <c r="K1163" i="1"/>
  <c r="J1163" i="1"/>
  <c r="G1163" i="1"/>
  <c r="F1163" i="1"/>
  <c r="E1163" i="1"/>
  <c r="D1163" i="1"/>
  <c r="C1163" i="1"/>
  <c r="B1163" i="1"/>
  <c r="A1163" i="1"/>
  <c r="M1162" i="1"/>
  <c r="L1162" i="1"/>
  <c r="K1162" i="1"/>
  <c r="J1162" i="1"/>
  <c r="G1162" i="1"/>
  <c r="F1162" i="1"/>
  <c r="E1162" i="1"/>
  <c r="D1162" i="1"/>
  <c r="C1162" i="1"/>
  <c r="B1162" i="1"/>
  <c r="A1162" i="1"/>
  <c r="M1161" i="1"/>
  <c r="L1161" i="1"/>
  <c r="K1161" i="1"/>
  <c r="J1161" i="1"/>
  <c r="G1161" i="1"/>
  <c r="F1161" i="1"/>
  <c r="E1161" i="1"/>
  <c r="D1161" i="1"/>
  <c r="C1161" i="1"/>
  <c r="B1161" i="1"/>
  <c r="A1161" i="1"/>
  <c r="M1160" i="1"/>
  <c r="L1160" i="1"/>
  <c r="K1160" i="1"/>
  <c r="J1160" i="1"/>
  <c r="G1160" i="1"/>
  <c r="F1160" i="1"/>
  <c r="E1160" i="1"/>
  <c r="D1160" i="1"/>
  <c r="C1160" i="1"/>
  <c r="B1160" i="1"/>
  <c r="A1160" i="1"/>
  <c r="M1159" i="1"/>
  <c r="L1159" i="1"/>
  <c r="K1159" i="1"/>
  <c r="J1159" i="1"/>
  <c r="G1159" i="1"/>
  <c r="F1159" i="1"/>
  <c r="E1159" i="1"/>
  <c r="D1159" i="1"/>
  <c r="C1159" i="1"/>
  <c r="B1159" i="1"/>
  <c r="A1159" i="1"/>
  <c r="M1158" i="1"/>
  <c r="L1158" i="1"/>
  <c r="K1158" i="1"/>
  <c r="J1158" i="1"/>
  <c r="G1158" i="1"/>
  <c r="F1158" i="1"/>
  <c r="E1158" i="1"/>
  <c r="D1158" i="1"/>
  <c r="C1158" i="1"/>
  <c r="B1158" i="1"/>
  <c r="A1158" i="1"/>
  <c r="M1157" i="1"/>
  <c r="L1157" i="1"/>
  <c r="K1157" i="1"/>
  <c r="J1157" i="1"/>
  <c r="G1157" i="1"/>
  <c r="F1157" i="1"/>
  <c r="E1157" i="1"/>
  <c r="D1157" i="1"/>
  <c r="C1157" i="1"/>
  <c r="B1157" i="1"/>
  <c r="A1157" i="1"/>
  <c r="M1156" i="1"/>
  <c r="L1156" i="1"/>
  <c r="K1156" i="1"/>
  <c r="J1156" i="1"/>
  <c r="G1156" i="1"/>
  <c r="F1156" i="1"/>
  <c r="E1156" i="1"/>
  <c r="D1156" i="1"/>
  <c r="C1156" i="1"/>
  <c r="B1156" i="1"/>
  <c r="A1156" i="1"/>
  <c r="M1155" i="1"/>
  <c r="L1155" i="1"/>
  <c r="K1155" i="1"/>
  <c r="J1155" i="1"/>
  <c r="G1155" i="1"/>
  <c r="F1155" i="1"/>
  <c r="E1155" i="1"/>
  <c r="D1155" i="1"/>
  <c r="C1155" i="1"/>
  <c r="B1155" i="1"/>
  <c r="A1155" i="1"/>
  <c r="M1154" i="1"/>
  <c r="L1154" i="1"/>
  <c r="K1154" i="1"/>
  <c r="J1154" i="1"/>
  <c r="G1154" i="1"/>
  <c r="F1154" i="1"/>
  <c r="E1154" i="1"/>
  <c r="D1154" i="1"/>
  <c r="C1154" i="1"/>
  <c r="B1154" i="1"/>
  <c r="A1154" i="1"/>
  <c r="M1153" i="1"/>
  <c r="L1153" i="1"/>
  <c r="K1153" i="1"/>
  <c r="J1153" i="1"/>
  <c r="G1153" i="1"/>
  <c r="F1153" i="1"/>
  <c r="E1153" i="1"/>
  <c r="D1153" i="1"/>
  <c r="C1153" i="1"/>
  <c r="B1153" i="1"/>
  <c r="A1153" i="1"/>
  <c r="M1152" i="1"/>
  <c r="L1152" i="1"/>
  <c r="K1152" i="1"/>
  <c r="J1152" i="1"/>
  <c r="G1152" i="1"/>
  <c r="F1152" i="1"/>
  <c r="E1152" i="1"/>
  <c r="D1152" i="1"/>
  <c r="C1152" i="1"/>
  <c r="B1152" i="1"/>
  <c r="A1152" i="1"/>
  <c r="M1151" i="1"/>
  <c r="L1151" i="1"/>
  <c r="K1151" i="1"/>
  <c r="J1151" i="1"/>
  <c r="G1151" i="1"/>
  <c r="F1151" i="1"/>
  <c r="E1151" i="1"/>
  <c r="D1151" i="1"/>
  <c r="C1151" i="1"/>
  <c r="B1151" i="1"/>
  <c r="A1151" i="1"/>
  <c r="M1150" i="1"/>
  <c r="L1150" i="1"/>
  <c r="K1150" i="1"/>
  <c r="J1150" i="1"/>
  <c r="G1150" i="1"/>
  <c r="F1150" i="1"/>
  <c r="E1150" i="1"/>
  <c r="D1150" i="1"/>
  <c r="C1150" i="1"/>
  <c r="B1150" i="1"/>
  <c r="A1150" i="1"/>
  <c r="M1149" i="1"/>
  <c r="L1149" i="1"/>
  <c r="K1149" i="1"/>
  <c r="J1149" i="1"/>
  <c r="G1149" i="1"/>
  <c r="F1149" i="1"/>
  <c r="E1149" i="1"/>
  <c r="D1149" i="1"/>
  <c r="C1149" i="1"/>
  <c r="B1149" i="1"/>
  <c r="A1149" i="1"/>
  <c r="M1148" i="1"/>
  <c r="L1148" i="1"/>
  <c r="K1148" i="1"/>
  <c r="J1148" i="1"/>
  <c r="G1148" i="1"/>
  <c r="F1148" i="1"/>
  <c r="E1148" i="1"/>
  <c r="D1148" i="1"/>
  <c r="C1148" i="1"/>
  <c r="B1148" i="1"/>
  <c r="A1148" i="1"/>
  <c r="M1147" i="1"/>
  <c r="L1147" i="1"/>
  <c r="K1147" i="1"/>
  <c r="J1147" i="1"/>
  <c r="G1147" i="1"/>
  <c r="F1147" i="1"/>
  <c r="E1147" i="1"/>
  <c r="D1147" i="1"/>
  <c r="C1147" i="1"/>
  <c r="B1147" i="1"/>
  <c r="A1147" i="1"/>
  <c r="M1146" i="1"/>
  <c r="L1146" i="1"/>
  <c r="K1146" i="1"/>
  <c r="J1146" i="1"/>
  <c r="G1146" i="1"/>
  <c r="F1146" i="1"/>
  <c r="E1146" i="1"/>
  <c r="D1146" i="1"/>
  <c r="C1146" i="1"/>
  <c r="B1146" i="1"/>
  <c r="A1146" i="1"/>
  <c r="M1145" i="1"/>
  <c r="L1145" i="1"/>
  <c r="K1145" i="1"/>
  <c r="J1145" i="1"/>
  <c r="G1145" i="1"/>
  <c r="F1145" i="1"/>
  <c r="E1145" i="1"/>
  <c r="D1145" i="1"/>
  <c r="C1145" i="1"/>
  <c r="B1145" i="1"/>
  <c r="A1145" i="1"/>
  <c r="M1144" i="1"/>
  <c r="L1144" i="1"/>
  <c r="K1144" i="1"/>
  <c r="J1144" i="1"/>
  <c r="G1144" i="1"/>
  <c r="F1144" i="1"/>
  <c r="E1144" i="1"/>
  <c r="D1144" i="1"/>
  <c r="C1144" i="1"/>
  <c r="B1144" i="1"/>
  <c r="A1144" i="1"/>
  <c r="M1143" i="1"/>
  <c r="L1143" i="1"/>
  <c r="K1143" i="1"/>
  <c r="J1143" i="1"/>
  <c r="G1143" i="1"/>
  <c r="F1143" i="1"/>
  <c r="E1143" i="1"/>
  <c r="D1143" i="1"/>
  <c r="C1143" i="1"/>
  <c r="B1143" i="1"/>
  <c r="A1143" i="1"/>
  <c r="M1142" i="1"/>
  <c r="L1142" i="1"/>
  <c r="K1142" i="1"/>
  <c r="J1142" i="1"/>
  <c r="G1142" i="1"/>
  <c r="F1142" i="1"/>
  <c r="E1142" i="1"/>
  <c r="D1142" i="1"/>
  <c r="C1142" i="1"/>
  <c r="B1142" i="1"/>
  <c r="A1142" i="1"/>
  <c r="M1141" i="1"/>
  <c r="L1141" i="1"/>
  <c r="K1141" i="1"/>
  <c r="J1141" i="1"/>
  <c r="G1141" i="1"/>
  <c r="F1141" i="1"/>
  <c r="E1141" i="1"/>
  <c r="D1141" i="1"/>
  <c r="C1141" i="1"/>
  <c r="B1141" i="1"/>
  <c r="A1141" i="1"/>
  <c r="M1140" i="1"/>
  <c r="L1140" i="1"/>
  <c r="K1140" i="1"/>
  <c r="J1140" i="1"/>
  <c r="G1140" i="1"/>
  <c r="F1140" i="1"/>
  <c r="E1140" i="1"/>
  <c r="D1140" i="1"/>
  <c r="C1140" i="1"/>
  <c r="B1140" i="1"/>
  <c r="A1140" i="1"/>
  <c r="M1139" i="1"/>
  <c r="L1139" i="1"/>
  <c r="K1139" i="1"/>
  <c r="J1139" i="1"/>
  <c r="G1139" i="1"/>
  <c r="F1139" i="1"/>
  <c r="E1139" i="1"/>
  <c r="D1139" i="1"/>
  <c r="C1139" i="1"/>
  <c r="B1139" i="1"/>
  <c r="A1139" i="1"/>
  <c r="M1138" i="1"/>
  <c r="L1138" i="1"/>
  <c r="K1138" i="1"/>
  <c r="J1138" i="1"/>
  <c r="G1138" i="1"/>
  <c r="F1138" i="1"/>
  <c r="E1138" i="1"/>
  <c r="D1138" i="1"/>
  <c r="C1138" i="1"/>
  <c r="B1138" i="1"/>
  <c r="A1138" i="1"/>
  <c r="M1137" i="1"/>
  <c r="L1137" i="1"/>
  <c r="K1137" i="1"/>
  <c r="J1137" i="1"/>
  <c r="G1137" i="1"/>
  <c r="F1137" i="1"/>
  <c r="E1137" i="1"/>
  <c r="D1137" i="1"/>
  <c r="C1137" i="1"/>
  <c r="B1137" i="1"/>
  <c r="A1137" i="1"/>
  <c r="L1136" i="1"/>
  <c r="K1136" i="1"/>
  <c r="J1136" i="1"/>
  <c r="G1136" i="1"/>
  <c r="F1136" i="1"/>
  <c r="E1136" i="1"/>
  <c r="D1136" i="1"/>
  <c r="C1136" i="1"/>
  <c r="B1136" i="1"/>
  <c r="A1136" i="1"/>
  <c r="M1134" i="1"/>
  <c r="I1134" i="1"/>
  <c r="H1134" i="1"/>
  <c r="M1133" i="1"/>
  <c r="L1133" i="1"/>
  <c r="K1133" i="1"/>
  <c r="J1133" i="1"/>
  <c r="G1133" i="1"/>
  <c r="F1133" i="1"/>
  <c r="E1133" i="1"/>
  <c r="D1133" i="1"/>
  <c r="C1133" i="1"/>
  <c r="B1133" i="1"/>
  <c r="A1133" i="1"/>
  <c r="M1132" i="1"/>
  <c r="L1132" i="1"/>
  <c r="K1132" i="1"/>
  <c r="J1132" i="1"/>
  <c r="G1132" i="1"/>
  <c r="F1132" i="1"/>
  <c r="E1132" i="1"/>
  <c r="D1132" i="1"/>
  <c r="C1132" i="1"/>
  <c r="B1132" i="1"/>
  <c r="A1132" i="1"/>
  <c r="M1131" i="1"/>
  <c r="L1131" i="1"/>
  <c r="K1131" i="1"/>
  <c r="J1131" i="1"/>
  <c r="G1131" i="1"/>
  <c r="F1131" i="1"/>
  <c r="E1131" i="1"/>
  <c r="D1131" i="1"/>
  <c r="C1131" i="1"/>
  <c r="B1131" i="1"/>
  <c r="A1131" i="1"/>
  <c r="M1130" i="1"/>
  <c r="L1130" i="1"/>
  <c r="K1130" i="1"/>
  <c r="J1130" i="1"/>
  <c r="G1130" i="1"/>
  <c r="F1130" i="1"/>
  <c r="E1130" i="1"/>
  <c r="D1130" i="1"/>
  <c r="C1130" i="1"/>
  <c r="B1130" i="1"/>
  <c r="A1130" i="1"/>
  <c r="M1129" i="1"/>
  <c r="L1129" i="1"/>
  <c r="K1129" i="1"/>
  <c r="J1129" i="1"/>
  <c r="G1129" i="1"/>
  <c r="F1129" i="1"/>
  <c r="E1129" i="1"/>
  <c r="D1129" i="1"/>
  <c r="C1129" i="1"/>
  <c r="B1129" i="1"/>
  <c r="A1129" i="1"/>
  <c r="M1128" i="1"/>
  <c r="L1128" i="1"/>
  <c r="K1128" i="1"/>
  <c r="J1128" i="1"/>
  <c r="G1128" i="1"/>
  <c r="F1128" i="1"/>
  <c r="E1128" i="1"/>
  <c r="D1128" i="1"/>
  <c r="C1128" i="1"/>
  <c r="B1128" i="1"/>
  <c r="A1128" i="1"/>
  <c r="M1127" i="1"/>
  <c r="L1127" i="1"/>
  <c r="K1127" i="1"/>
  <c r="J1127" i="1"/>
  <c r="G1127" i="1"/>
  <c r="F1127" i="1"/>
  <c r="E1127" i="1"/>
  <c r="D1127" i="1"/>
  <c r="C1127" i="1"/>
  <c r="B1127" i="1"/>
  <c r="A1127" i="1"/>
  <c r="M1126" i="1"/>
  <c r="L1126" i="1"/>
  <c r="K1126" i="1"/>
  <c r="J1126" i="1"/>
  <c r="G1126" i="1"/>
  <c r="F1126" i="1"/>
  <c r="E1126" i="1"/>
  <c r="D1126" i="1"/>
  <c r="C1126" i="1"/>
  <c r="B1126" i="1"/>
  <c r="A1126" i="1"/>
  <c r="M1125" i="1"/>
  <c r="L1125" i="1"/>
  <c r="K1125" i="1"/>
  <c r="J1125" i="1"/>
  <c r="G1125" i="1"/>
  <c r="F1125" i="1"/>
  <c r="E1125" i="1"/>
  <c r="D1125" i="1"/>
  <c r="C1125" i="1"/>
  <c r="B1125" i="1"/>
  <c r="A1125" i="1"/>
  <c r="M1124" i="1"/>
  <c r="L1124" i="1"/>
  <c r="K1124" i="1"/>
  <c r="J1124" i="1"/>
  <c r="G1124" i="1"/>
  <c r="F1124" i="1"/>
  <c r="E1124" i="1"/>
  <c r="D1124" i="1"/>
  <c r="C1124" i="1"/>
  <c r="B1124" i="1"/>
  <c r="A1124" i="1"/>
  <c r="L1123" i="1"/>
  <c r="K1123" i="1"/>
  <c r="J1123" i="1"/>
  <c r="G1123" i="1"/>
  <c r="F1123" i="1"/>
  <c r="E1123" i="1"/>
  <c r="D1123" i="1"/>
  <c r="C1123" i="1"/>
  <c r="B1123" i="1"/>
  <c r="A1123" i="1"/>
  <c r="M1122" i="1"/>
  <c r="L1121" i="1"/>
  <c r="K1121" i="1"/>
  <c r="J1121" i="1"/>
  <c r="I1121" i="1"/>
  <c r="G1121" i="1"/>
  <c r="F1121" i="1"/>
  <c r="E1121" i="1"/>
  <c r="D1121" i="1"/>
  <c r="C1121" i="1"/>
  <c r="B1121" i="1"/>
  <c r="A1121" i="1"/>
  <c r="M1119" i="1"/>
  <c r="I1119" i="1"/>
  <c r="H1119" i="1"/>
  <c r="M1118" i="1"/>
  <c r="L1118" i="1"/>
  <c r="K1118" i="1"/>
  <c r="J1118" i="1"/>
  <c r="G1118" i="1"/>
  <c r="F1118" i="1"/>
  <c r="E1118" i="1"/>
  <c r="D1118" i="1"/>
  <c r="C1118" i="1"/>
  <c r="B1118" i="1"/>
  <c r="A1118" i="1"/>
  <c r="M1117" i="1"/>
  <c r="L1117" i="1"/>
  <c r="K1117" i="1"/>
  <c r="J1117" i="1"/>
  <c r="G1117" i="1"/>
  <c r="F1117" i="1"/>
  <c r="E1117" i="1"/>
  <c r="D1117" i="1"/>
  <c r="C1117" i="1"/>
  <c r="B1117" i="1"/>
  <c r="A1117" i="1"/>
  <c r="M1116" i="1"/>
  <c r="L1116" i="1"/>
  <c r="K1116" i="1"/>
  <c r="J1116" i="1"/>
  <c r="G1116" i="1"/>
  <c r="F1116" i="1"/>
  <c r="E1116" i="1"/>
  <c r="D1116" i="1"/>
  <c r="C1116" i="1"/>
  <c r="B1116" i="1"/>
  <c r="A1116" i="1"/>
  <c r="M1115" i="1"/>
  <c r="L1115" i="1"/>
  <c r="K1115" i="1"/>
  <c r="J1115" i="1"/>
  <c r="G1115" i="1"/>
  <c r="F1115" i="1"/>
  <c r="E1115" i="1"/>
  <c r="D1115" i="1"/>
  <c r="C1115" i="1"/>
  <c r="B1115" i="1"/>
  <c r="A1115" i="1"/>
  <c r="M1114" i="1"/>
  <c r="L1114" i="1"/>
  <c r="K1114" i="1"/>
  <c r="J1114" i="1"/>
  <c r="G1114" i="1"/>
  <c r="F1114" i="1"/>
  <c r="E1114" i="1"/>
  <c r="D1114" i="1"/>
  <c r="C1114" i="1"/>
  <c r="B1114" i="1"/>
  <c r="A1114" i="1"/>
  <c r="M1113" i="1"/>
  <c r="L1113" i="1"/>
  <c r="K1113" i="1"/>
  <c r="J1113" i="1"/>
  <c r="G1113" i="1"/>
  <c r="F1113" i="1"/>
  <c r="E1113" i="1"/>
  <c r="D1113" i="1"/>
  <c r="C1113" i="1"/>
  <c r="B1113" i="1"/>
  <c r="A1113" i="1"/>
  <c r="M1112" i="1"/>
  <c r="L1112" i="1"/>
  <c r="K1112" i="1"/>
  <c r="J1112" i="1"/>
  <c r="G1112" i="1"/>
  <c r="F1112" i="1"/>
  <c r="E1112" i="1"/>
  <c r="D1112" i="1"/>
  <c r="C1112" i="1"/>
  <c r="B1112" i="1"/>
  <c r="A1112" i="1"/>
  <c r="M1111" i="1"/>
  <c r="L1111" i="1"/>
  <c r="K1111" i="1"/>
  <c r="J1111" i="1"/>
  <c r="G1111" i="1"/>
  <c r="F1111" i="1"/>
  <c r="E1111" i="1"/>
  <c r="D1111" i="1"/>
  <c r="C1111" i="1"/>
  <c r="B1111" i="1"/>
  <c r="A1111" i="1"/>
  <c r="M1110" i="1"/>
  <c r="L1110" i="1"/>
  <c r="K1110" i="1"/>
  <c r="J1110" i="1"/>
  <c r="G1110" i="1"/>
  <c r="F1110" i="1"/>
  <c r="E1110" i="1"/>
  <c r="D1110" i="1"/>
  <c r="C1110" i="1"/>
  <c r="B1110" i="1"/>
  <c r="A1110" i="1"/>
  <c r="M1109" i="1"/>
  <c r="L1109" i="1"/>
  <c r="K1109" i="1"/>
  <c r="J1109" i="1"/>
  <c r="G1109" i="1"/>
  <c r="F1109" i="1"/>
  <c r="E1109" i="1"/>
  <c r="D1109" i="1"/>
  <c r="C1109" i="1"/>
  <c r="B1109" i="1"/>
  <c r="A1109" i="1"/>
  <c r="M1108" i="1"/>
  <c r="L1108" i="1"/>
  <c r="K1108" i="1"/>
  <c r="J1108" i="1"/>
  <c r="G1108" i="1"/>
  <c r="F1108" i="1"/>
  <c r="E1108" i="1"/>
  <c r="D1108" i="1"/>
  <c r="C1108" i="1"/>
  <c r="B1108" i="1"/>
  <c r="A1108" i="1"/>
  <c r="M1107" i="1"/>
  <c r="L1107" i="1"/>
  <c r="K1107" i="1"/>
  <c r="J1107" i="1"/>
  <c r="G1107" i="1"/>
  <c r="F1107" i="1"/>
  <c r="E1107" i="1"/>
  <c r="D1107" i="1"/>
  <c r="C1107" i="1"/>
  <c r="B1107" i="1"/>
  <c r="A1107" i="1"/>
  <c r="M1106" i="1"/>
  <c r="L1106" i="1"/>
  <c r="K1106" i="1"/>
  <c r="J1106" i="1"/>
  <c r="G1106" i="1"/>
  <c r="F1106" i="1"/>
  <c r="E1106" i="1"/>
  <c r="D1106" i="1"/>
  <c r="C1106" i="1"/>
  <c r="B1106" i="1"/>
  <c r="A1106" i="1"/>
  <c r="M1105" i="1"/>
  <c r="L1105" i="1"/>
  <c r="K1105" i="1"/>
  <c r="J1105" i="1"/>
  <c r="G1105" i="1"/>
  <c r="F1105" i="1"/>
  <c r="E1105" i="1"/>
  <c r="D1105" i="1"/>
  <c r="C1105" i="1"/>
  <c r="B1105" i="1"/>
  <c r="A1105" i="1"/>
  <c r="M1104" i="1"/>
  <c r="L1104" i="1"/>
  <c r="K1104" i="1"/>
  <c r="J1104" i="1"/>
  <c r="G1104" i="1"/>
  <c r="F1104" i="1"/>
  <c r="E1104" i="1"/>
  <c r="D1104" i="1"/>
  <c r="C1104" i="1"/>
  <c r="B1104" i="1"/>
  <c r="A1104" i="1"/>
  <c r="M1103" i="1"/>
  <c r="L1103" i="1"/>
  <c r="K1103" i="1"/>
  <c r="J1103" i="1"/>
  <c r="G1103" i="1"/>
  <c r="F1103" i="1"/>
  <c r="E1103" i="1"/>
  <c r="D1103" i="1"/>
  <c r="C1103" i="1"/>
  <c r="B1103" i="1"/>
  <c r="A1103" i="1"/>
  <c r="M1102" i="1"/>
  <c r="L1102" i="1"/>
  <c r="K1102" i="1"/>
  <c r="J1102" i="1"/>
  <c r="G1102" i="1"/>
  <c r="F1102" i="1"/>
  <c r="E1102" i="1"/>
  <c r="D1102" i="1"/>
  <c r="C1102" i="1"/>
  <c r="B1102" i="1"/>
  <c r="A1102" i="1"/>
  <c r="M1101" i="1"/>
  <c r="L1101" i="1"/>
  <c r="K1101" i="1"/>
  <c r="J1101" i="1"/>
  <c r="G1101" i="1"/>
  <c r="F1101" i="1"/>
  <c r="E1101" i="1"/>
  <c r="D1101" i="1"/>
  <c r="C1101" i="1"/>
  <c r="B1101" i="1"/>
  <c r="A1101" i="1"/>
  <c r="M1100" i="1"/>
  <c r="L1100" i="1"/>
  <c r="K1100" i="1"/>
  <c r="J1100" i="1"/>
  <c r="G1100" i="1"/>
  <c r="F1100" i="1"/>
  <c r="E1100" i="1"/>
  <c r="D1100" i="1"/>
  <c r="C1100" i="1"/>
  <c r="B1100" i="1"/>
  <c r="A1100" i="1"/>
  <c r="M1099" i="1"/>
  <c r="L1099" i="1"/>
  <c r="K1099" i="1"/>
  <c r="J1099" i="1"/>
  <c r="G1099" i="1"/>
  <c r="F1099" i="1"/>
  <c r="E1099" i="1"/>
  <c r="D1099" i="1"/>
  <c r="C1099" i="1"/>
  <c r="B1099" i="1"/>
  <c r="A1099" i="1"/>
  <c r="M1098" i="1"/>
  <c r="L1098" i="1"/>
  <c r="K1098" i="1"/>
  <c r="J1098" i="1"/>
  <c r="G1098" i="1"/>
  <c r="F1098" i="1"/>
  <c r="E1098" i="1"/>
  <c r="D1098" i="1"/>
  <c r="C1098" i="1"/>
  <c r="B1098" i="1"/>
  <c r="A1098" i="1"/>
  <c r="M1097" i="1"/>
  <c r="L1097" i="1"/>
  <c r="K1097" i="1"/>
  <c r="J1097" i="1"/>
  <c r="G1097" i="1"/>
  <c r="F1097" i="1"/>
  <c r="E1097" i="1"/>
  <c r="D1097" i="1"/>
  <c r="C1097" i="1"/>
  <c r="B1097" i="1"/>
  <c r="A1097" i="1"/>
  <c r="M1096" i="1"/>
  <c r="L1096" i="1"/>
  <c r="K1096" i="1"/>
  <c r="J1096" i="1"/>
  <c r="G1096" i="1"/>
  <c r="F1096" i="1"/>
  <c r="E1096" i="1"/>
  <c r="D1096" i="1"/>
  <c r="C1096" i="1"/>
  <c r="B1096" i="1"/>
  <c r="A1096" i="1"/>
  <c r="M1095" i="1"/>
  <c r="L1095" i="1"/>
  <c r="K1095" i="1"/>
  <c r="J1095" i="1"/>
  <c r="G1095" i="1"/>
  <c r="F1095" i="1"/>
  <c r="E1095" i="1"/>
  <c r="D1095" i="1"/>
  <c r="C1095" i="1"/>
  <c r="B1095" i="1"/>
  <c r="A1095" i="1"/>
  <c r="M1094" i="1"/>
  <c r="L1094" i="1"/>
  <c r="K1094" i="1"/>
  <c r="J1094" i="1"/>
  <c r="G1094" i="1"/>
  <c r="F1094" i="1"/>
  <c r="E1094" i="1"/>
  <c r="D1094" i="1"/>
  <c r="C1094" i="1"/>
  <c r="B1094" i="1"/>
  <c r="A1094" i="1"/>
  <c r="M1093" i="1"/>
  <c r="L1093" i="1"/>
  <c r="K1093" i="1"/>
  <c r="J1093" i="1"/>
  <c r="G1093" i="1"/>
  <c r="F1093" i="1"/>
  <c r="E1093" i="1"/>
  <c r="D1093" i="1"/>
  <c r="C1093" i="1"/>
  <c r="B1093" i="1"/>
  <c r="A1093" i="1"/>
  <c r="M1092" i="1"/>
  <c r="L1092" i="1"/>
  <c r="K1092" i="1"/>
  <c r="J1092" i="1"/>
  <c r="G1092" i="1"/>
  <c r="F1092" i="1"/>
  <c r="E1092" i="1"/>
  <c r="D1092" i="1"/>
  <c r="C1092" i="1"/>
  <c r="B1092" i="1"/>
  <c r="A1092" i="1"/>
  <c r="L1091" i="1"/>
  <c r="K1091" i="1"/>
  <c r="J1091" i="1"/>
  <c r="G1091" i="1"/>
  <c r="F1091" i="1"/>
  <c r="E1091" i="1"/>
  <c r="D1091" i="1"/>
  <c r="C1091" i="1"/>
  <c r="B1091" i="1"/>
  <c r="A1091" i="1"/>
  <c r="M1089" i="1"/>
  <c r="I1089" i="1"/>
  <c r="H1089" i="1"/>
  <c r="M1088" i="1"/>
  <c r="L1088" i="1"/>
  <c r="K1088" i="1"/>
  <c r="J1088" i="1"/>
  <c r="G1088" i="1"/>
  <c r="F1088" i="1"/>
  <c r="E1088" i="1"/>
  <c r="D1088" i="1"/>
  <c r="C1088" i="1"/>
  <c r="B1088" i="1"/>
  <c r="A1088" i="1"/>
  <c r="M1087" i="1"/>
  <c r="L1087" i="1"/>
  <c r="K1087" i="1"/>
  <c r="J1087" i="1"/>
  <c r="G1087" i="1"/>
  <c r="F1087" i="1"/>
  <c r="E1087" i="1"/>
  <c r="D1087" i="1"/>
  <c r="C1087" i="1"/>
  <c r="B1087" i="1"/>
  <c r="A1087" i="1"/>
  <c r="M1086" i="1"/>
  <c r="L1086" i="1"/>
  <c r="K1086" i="1"/>
  <c r="J1086" i="1"/>
  <c r="G1086" i="1"/>
  <c r="F1086" i="1"/>
  <c r="E1086" i="1"/>
  <c r="D1086" i="1"/>
  <c r="C1086" i="1"/>
  <c r="B1086" i="1"/>
  <c r="A1086" i="1"/>
  <c r="M1085" i="1"/>
  <c r="L1085" i="1"/>
  <c r="K1085" i="1"/>
  <c r="J1085" i="1"/>
  <c r="G1085" i="1"/>
  <c r="F1085" i="1"/>
  <c r="E1085" i="1"/>
  <c r="D1085" i="1"/>
  <c r="C1085" i="1"/>
  <c r="B1085" i="1"/>
  <c r="A1085" i="1"/>
  <c r="M1084" i="1"/>
  <c r="L1084" i="1"/>
  <c r="K1084" i="1"/>
  <c r="J1084" i="1"/>
  <c r="G1084" i="1"/>
  <c r="F1084" i="1"/>
  <c r="E1084" i="1"/>
  <c r="D1084" i="1"/>
  <c r="C1084" i="1"/>
  <c r="B1084" i="1"/>
  <c r="A1084" i="1"/>
  <c r="M1083" i="1"/>
  <c r="L1083" i="1"/>
  <c r="K1083" i="1"/>
  <c r="J1083" i="1"/>
  <c r="G1083" i="1"/>
  <c r="F1083" i="1"/>
  <c r="E1083" i="1"/>
  <c r="D1083" i="1"/>
  <c r="C1083" i="1"/>
  <c r="B1083" i="1"/>
  <c r="A1083" i="1"/>
  <c r="M1082" i="1"/>
  <c r="L1082" i="1"/>
  <c r="K1082" i="1"/>
  <c r="J1082" i="1"/>
  <c r="G1082" i="1"/>
  <c r="F1082" i="1"/>
  <c r="E1082" i="1"/>
  <c r="D1082" i="1"/>
  <c r="C1082" i="1"/>
  <c r="B1082" i="1"/>
  <c r="A1082" i="1"/>
  <c r="M1081" i="1"/>
  <c r="L1081" i="1"/>
  <c r="K1081" i="1"/>
  <c r="J1081" i="1"/>
  <c r="G1081" i="1"/>
  <c r="F1081" i="1"/>
  <c r="E1081" i="1"/>
  <c r="D1081" i="1"/>
  <c r="C1081" i="1"/>
  <c r="B1081" i="1"/>
  <c r="A1081" i="1"/>
  <c r="M1080" i="1"/>
  <c r="L1080" i="1"/>
  <c r="K1080" i="1"/>
  <c r="J1080" i="1"/>
  <c r="G1080" i="1"/>
  <c r="F1080" i="1"/>
  <c r="E1080" i="1"/>
  <c r="D1080" i="1"/>
  <c r="C1080" i="1"/>
  <c r="B1080" i="1"/>
  <c r="A1080" i="1"/>
  <c r="M1079" i="1"/>
  <c r="L1079" i="1"/>
  <c r="K1079" i="1"/>
  <c r="J1079" i="1"/>
  <c r="G1079" i="1"/>
  <c r="F1079" i="1"/>
  <c r="E1079" i="1"/>
  <c r="D1079" i="1"/>
  <c r="C1079" i="1"/>
  <c r="B1079" i="1"/>
  <c r="A1079" i="1"/>
  <c r="M1078" i="1"/>
  <c r="L1078" i="1"/>
  <c r="K1078" i="1"/>
  <c r="J1078" i="1"/>
  <c r="G1078" i="1"/>
  <c r="F1078" i="1"/>
  <c r="E1078" i="1"/>
  <c r="D1078" i="1"/>
  <c r="C1078" i="1"/>
  <c r="B1078" i="1"/>
  <c r="A1078" i="1"/>
  <c r="M1077" i="1"/>
  <c r="L1077" i="1"/>
  <c r="K1077" i="1"/>
  <c r="J1077" i="1"/>
  <c r="G1077" i="1"/>
  <c r="F1077" i="1"/>
  <c r="E1077" i="1"/>
  <c r="D1077" i="1"/>
  <c r="C1077" i="1"/>
  <c r="B1077" i="1"/>
  <c r="A1077" i="1"/>
  <c r="M1076" i="1"/>
  <c r="L1076" i="1"/>
  <c r="K1076" i="1"/>
  <c r="J1076" i="1"/>
  <c r="G1076" i="1"/>
  <c r="F1076" i="1"/>
  <c r="E1076" i="1"/>
  <c r="D1076" i="1"/>
  <c r="C1076" i="1"/>
  <c r="B1076" i="1"/>
  <c r="A1076" i="1"/>
  <c r="M1075" i="1"/>
  <c r="L1075" i="1"/>
  <c r="K1075" i="1"/>
  <c r="J1075" i="1"/>
  <c r="G1075" i="1"/>
  <c r="F1075" i="1"/>
  <c r="E1075" i="1"/>
  <c r="D1075" i="1"/>
  <c r="C1075" i="1"/>
  <c r="B1075" i="1"/>
  <c r="A1075" i="1"/>
  <c r="M1074" i="1"/>
  <c r="L1074" i="1"/>
  <c r="K1074" i="1"/>
  <c r="J1074" i="1"/>
  <c r="G1074" i="1"/>
  <c r="F1074" i="1"/>
  <c r="E1074" i="1"/>
  <c r="D1074" i="1"/>
  <c r="C1074" i="1"/>
  <c r="B1074" i="1"/>
  <c r="A1074" i="1"/>
  <c r="M1073" i="1"/>
  <c r="L1073" i="1"/>
  <c r="K1073" i="1"/>
  <c r="J1073" i="1"/>
  <c r="G1073" i="1"/>
  <c r="F1073" i="1"/>
  <c r="E1073" i="1"/>
  <c r="D1073" i="1"/>
  <c r="C1073" i="1"/>
  <c r="B1073" i="1"/>
  <c r="A1073" i="1"/>
  <c r="M1072" i="1"/>
  <c r="L1072" i="1"/>
  <c r="K1072" i="1"/>
  <c r="J1072" i="1"/>
  <c r="G1072" i="1"/>
  <c r="F1072" i="1"/>
  <c r="E1072" i="1"/>
  <c r="D1072" i="1"/>
  <c r="C1072" i="1"/>
  <c r="B1072" i="1"/>
  <c r="A1072" i="1"/>
  <c r="M1071" i="1"/>
  <c r="L1071" i="1"/>
  <c r="K1071" i="1"/>
  <c r="J1071" i="1"/>
  <c r="G1071" i="1"/>
  <c r="F1071" i="1"/>
  <c r="E1071" i="1"/>
  <c r="D1071" i="1"/>
  <c r="C1071" i="1"/>
  <c r="B1071" i="1"/>
  <c r="A1071" i="1"/>
  <c r="M1070" i="1"/>
  <c r="L1070" i="1"/>
  <c r="K1070" i="1"/>
  <c r="J1070" i="1"/>
  <c r="G1070" i="1"/>
  <c r="F1070" i="1"/>
  <c r="E1070" i="1"/>
  <c r="D1070" i="1"/>
  <c r="C1070" i="1"/>
  <c r="B1070" i="1"/>
  <c r="A1070" i="1"/>
  <c r="M1069" i="1"/>
  <c r="L1069" i="1"/>
  <c r="K1069" i="1"/>
  <c r="J1069" i="1"/>
  <c r="G1069" i="1"/>
  <c r="F1069" i="1"/>
  <c r="E1069" i="1"/>
  <c r="D1069" i="1"/>
  <c r="C1069" i="1"/>
  <c r="B1069" i="1"/>
  <c r="A1069" i="1"/>
  <c r="M1068" i="1"/>
  <c r="L1068" i="1"/>
  <c r="K1068" i="1"/>
  <c r="J1068" i="1"/>
  <c r="G1068" i="1"/>
  <c r="F1068" i="1"/>
  <c r="E1068" i="1"/>
  <c r="D1068" i="1"/>
  <c r="C1068" i="1"/>
  <c r="B1068" i="1"/>
  <c r="A1068" i="1"/>
  <c r="M1067" i="1"/>
  <c r="L1067" i="1"/>
  <c r="K1067" i="1"/>
  <c r="J1067" i="1"/>
  <c r="G1067" i="1"/>
  <c r="F1067" i="1"/>
  <c r="E1067" i="1"/>
  <c r="D1067" i="1"/>
  <c r="C1067" i="1"/>
  <c r="B1067" i="1"/>
  <c r="A1067" i="1"/>
  <c r="M1066" i="1"/>
  <c r="L1066" i="1"/>
  <c r="K1066" i="1"/>
  <c r="J1066" i="1"/>
  <c r="G1066" i="1"/>
  <c r="F1066" i="1"/>
  <c r="E1066" i="1"/>
  <c r="D1066" i="1"/>
  <c r="C1066" i="1"/>
  <c r="B1066" i="1"/>
  <c r="A1066" i="1"/>
  <c r="M1065" i="1"/>
  <c r="L1065" i="1"/>
  <c r="K1065" i="1"/>
  <c r="J1065" i="1"/>
  <c r="G1065" i="1"/>
  <c r="F1065" i="1"/>
  <c r="E1065" i="1"/>
  <c r="D1065" i="1"/>
  <c r="C1065" i="1"/>
  <c r="B1065" i="1"/>
  <c r="A1065" i="1"/>
  <c r="M1064" i="1"/>
  <c r="L1064" i="1"/>
  <c r="K1064" i="1"/>
  <c r="J1064" i="1"/>
  <c r="G1064" i="1"/>
  <c r="F1064" i="1"/>
  <c r="E1064" i="1"/>
  <c r="D1064" i="1"/>
  <c r="C1064" i="1"/>
  <c r="B1064" i="1"/>
  <c r="A1064" i="1"/>
  <c r="M1063" i="1"/>
  <c r="L1063" i="1"/>
  <c r="K1063" i="1"/>
  <c r="J1063" i="1"/>
  <c r="G1063" i="1"/>
  <c r="F1063" i="1"/>
  <c r="E1063" i="1"/>
  <c r="D1063" i="1"/>
  <c r="C1063" i="1"/>
  <c r="B1063" i="1"/>
  <c r="A1063" i="1"/>
  <c r="M1062" i="1"/>
  <c r="L1062" i="1"/>
  <c r="K1062" i="1"/>
  <c r="J1062" i="1"/>
  <c r="G1062" i="1"/>
  <c r="F1062" i="1"/>
  <c r="E1062" i="1"/>
  <c r="D1062" i="1"/>
  <c r="C1062" i="1"/>
  <c r="B1062" i="1"/>
  <c r="A1062" i="1"/>
  <c r="M1061" i="1"/>
  <c r="L1061" i="1"/>
  <c r="K1061" i="1"/>
  <c r="J1061" i="1"/>
  <c r="G1061" i="1"/>
  <c r="F1061" i="1"/>
  <c r="E1061" i="1"/>
  <c r="D1061" i="1"/>
  <c r="C1061" i="1"/>
  <c r="B1061" i="1"/>
  <c r="A1061" i="1"/>
  <c r="M1060" i="1"/>
  <c r="L1060" i="1"/>
  <c r="K1060" i="1"/>
  <c r="J1060" i="1"/>
  <c r="G1060" i="1"/>
  <c r="F1060" i="1"/>
  <c r="E1060" i="1"/>
  <c r="D1060" i="1"/>
  <c r="C1060" i="1"/>
  <c r="B1060" i="1"/>
  <c r="A1060" i="1"/>
  <c r="M1059" i="1"/>
  <c r="L1059" i="1"/>
  <c r="K1059" i="1"/>
  <c r="J1059" i="1"/>
  <c r="G1059" i="1"/>
  <c r="F1059" i="1"/>
  <c r="E1059" i="1"/>
  <c r="D1059" i="1"/>
  <c r="C1059" i="1"/>
  <c r="B1059" i="1"/>
  <c r="A1059" i="1"/>
  <c r="L1058" i="1"/>
  <c r="K1058" i="1"/>
  <c r="J1058" i="1"/>
  <c r="G1058" i="1"/>
  <c r="F1058" i="1"/>
  <c r="E1058" i="1"/>
  <c r="D1058" i="1"/>
  <c r="C1058" i="1"/>
  <c r="B1058" i="1"/>
  <c r="A1058" i="1"/>
  <c r="M1057" i="1"/>
  <c r="L1056" i="1"/>
  <c r="K1056" i="1"/>
  <c r="J1056" i="1"/>
  <c r="I1056" i="1"/>
  <c r="G1056" i="1"/>
  <c r="F1056" i="1"/>
  <c r="E1056" i="1"/>
  <c r="D1056" i="1"/>
  <c r="C1056" i="1"/>
  <c r="B1056" i="1"/>
  <c r="A1056" i="1"/>
  <c r="M1055" i="1"/>
  <c r="L1054" i="1"/>
  <c r="K1054" i="1"/>
  <c r="J1054" i="1"/>
  <c r="I1054" i="1"/>
  <c r="G1054" i="1"/>
  <c r="F1054" i="1"/>
  <c r="E1054" i="1"/>
  <c r="D1054" i="1"/>
  <c r="C1054" i="1"/>
  <c r="B1054" i="1"/>
  <c r="A1054" i="1"/>
  <c r="I1052" i="1"/>
  <c r="H1052" i="1"/>
  <c r="L1051" i="1"/>
  <c r="K1051" i="1"/>
  <c r="J1051" i="1"/>
  <c r="G1051" i="1"/>
  <c r="F1051" i="1"/>
  <c r="E1051" i="1"/>
  <c r="D1051" i="1"/>
  <c r="C1051" i="1"/>
  <c r="B1051" i="1"/>
  <c r="A1051" i="1"/>
  <c r="L1050" i="1"/>
  <c r="K1050" i="1"/>
  <c r="J1050" i="1"/>
  <c r="G1050" i="1"/>
  <c r="F1050" i="1"/>
  <c r="E1050" i="1"/>
  <c r="D1050" i="1"/>
  <c r="C1050" i="1"/>
  <c r="B1050" i="1"/>
  <c r="A1050" i="1"/>
  <c r="M1049" i="1"/>
  <c r="L1049" i="1"/>
  <c r="K1049" i="1"/>
  <c r="J1049" i="1"/>
  <c r="G1049" i="1"/>
  <c r="F1049" i="1"/>
  <c r="E1049" i="1"/>
  <c r="D1049" i="1"/>
  <c r="C1049" i="1"/>
  <c r="B1049" i="1"/>
  <c r="A1049" i="1"/>
  <c r="M1048" i="1"/>
  <c r="L1048" i="1"/>
  <c r="K1048" i="1"/>
  <c r="J1048" i="1"/>
  <c r="G1048" i="1"/>
  <c r="F1048" i="1"/>
  <c r="E1048" i="1"/>
  <c r="D1048" i="1"/>
  <c r="C1048" i="1"/>
  <c r="B1048" i="1"/>
  <c r="A1048" i="1"/>
  <c r="M1047" i="1"/>
  <c r="L1047" i="1"/>
  <c r="K1047" i="1"/>
  <c r="J1047" i="1"/>
  <c r="G1047" i="1"/>
  <c r="F1047" i="1"/>
  <c r="E1047" i="1"/>
  <c r="D1047" i="1"/>
  <c r="C1047" i="1"/>
  <c r="B1047" i="1"/>
  <c r="A1047" i="1"/>
  <c r="M1046" i="1"/>
  <c r="L1046" i="1"/>
  <c r="K1046" i="1"/>
  <c r="J1046" i="1"/>
  <c r="G1046" i="1"/>
  <c r="F1046" i="1"/>
  <c r="E1046" i="1"/>
  <c r="D1046" i="1"/>
  <c r="C1046" i="1"/>
  <c r="B1046" i="1"/>
  <c r="A1046" i="1"/>
  <c r="M1045" i="1"/>
  <c r="L1045" i="1"/>
  <c r="K1045" i="1"/>
  <c r="J1045" i="1"/>
  <c r="G1045" i="1"/>
  <c r="F1045" i="1"/>
  <c r="E1045" i="1"/>
  <c r="D1045" i="1"/>
  <c r="C1045" i="1"/>
  <c r="B1045" i="1"/>
  <c r="A1045" i="1"/>
  <c r="M1044" i="1"/>
  <c r="L1044" i="1"/>
  <c r="K1044" i="1"/>
  <c r="J1044" i="1"/>
  <c r="G1044" i="1"/>
  <c r="F1044" i="1"/>
  <c r="E1044" i="1"/>
  <c r="D1044" i="1"/>
  <c r="C1044" i="1"/>
  <c r="B1044" i="1"/>
  <c r="A1044" i="1"/>
  <c r="M1043" i="1"/>
  <c r="L1043" i="1"/>
  <c r="K1043" i="1"/>
  <c r="J1043" i="1"/>
  <c r="G1043" i="1"/>
  <c r="F1043" i="1"/>
  <c r="E1043" i="1"/>
  <c r="D1043" i="1"/>
  <c r="C1043" i="1"/>
  <c r="B1043" i="1"/>
  <c r="A1043" i="1"/>
  <c r="L1042" i="1"/>
  <c r="K1042" i="1"/>
  <c r="J1042" i="1"/>
  <c r="G1042" i="1"/>
  <c r="F1042" i="1"/>
  <c r="E1042" i="1"/>
  <c r="D1042" i="1"/>
  <c r="C1042" i="1"/>
  <c r="B1042" i="1"/>
  <c r="A1042" i="1"/>
  <c r="M1040" i="1"/>
  <c r="I1040" i="1"/>
  <c r="H1040" i="1"/>
  <c r="M1039" i="1"/>
  <c r="L1039" i="1"/>
  <c r="K1039" i="1"/>
  <c r="J1039" i="1"/>
  <c r="G1039" i="1"/>
  <c r="F1039" i="1"/>
  <c r="E1039" i="1"/>
  <c r="D1039" i="1"/>
  <c r="C1039" i="1"/>
  <c r="B1039" i="1"/>
  <c r="A1039" i="1"/>
  <c r="M1038" i="1"/>
  <c r="L1038" i="1"/>
  <c r="K1038" i="1"/>
  <c r="J1038" i="1"/>
  <c r="G1038" i="1"/>
  <c r="F1038" i="1"/>
  <c r="E1038" i="1"/>
  <c r="D1038" i="1"/>
  <c r="C1038" i="1"/>
  <c r="B1038" i="1"/>
  <c r="A1038" i="1"/>
  <c r="M1037" i="1"/>
  <c r="L1037" i="1"/>
  <c r="K1037" i="1"/>
  <c r="J1037" i="1"/>
  <c r="G1037" i="1"/>
  <c r="F1037" i="1"/>
  <c r="E1037" i="1"/>
  <c r="D1037" i="1"/>
  <c r="C1037" i="1"/>
  <c r="B1037" i="1"/>
  <c r="A1037" i="1"/>
  <c r="M1036" i="1"/>
  <c r="L1036" i="1"/>
  <c r="K1036" i="1"/>
  <c r="J1036" i="1"/>
  <c r="G1036" i="1"/>
  <c r="F1036" i="1"/>
  <c r="E1036" i="1"/>
  <c r="D1036" i="1"/>
  <c r="C1036" i="1"/>
  <c r="B1036" i="1"/>
  <c r="A1036" i="1"/>
  <c r="M1035" i="1"/>
  <c r="L1035" i="1"/>
  <c r="K1035" i="1"/>
  <c r="J1035" i="1"/>
  <c r="G1035" i="1"/>
  <c r="F1035" i="1"/>
  <c r="E1035" i="1"/>
  <c r="D1035" i="1"/>
  <c r="C1035" i="1"/>
  <c r="B1035" i="1"/>
  <c r="A1035" i="1"/>
  <c r="M1034" i="1"/>
  <c r="L1034" i="1"/>
  <c r="K1034" i="1"/>
  <c r="J1034" i="1"/>
  <c r="G1034" i="1"/>
  <c r="F1034" i="1"/>
  <c r="E1034" i="1"/>
  <c r="D1034" i="1"/>
  <c r="C1034" i="1"/>
  <c r="B1034" i="1"/>
  <c r="A1034" i="1"/>
  <c r="M1033" i="1"/>
  <c r="L1033" i="1"/>
  <c r="K1033" i="1"/>
  <c r="J1033" i="1"/>
  <c r="G1033" i="1"/>
  <c r="F1033" i="1"/>
  <c r="E1033" i="1"/>
  <c r="D1033" i="1"/>
  <c r="C1033" i="1"/>
  <c r="B1033" i="1"/>
  <c r="A1033" i="1"/>
  <c r="M1032" i="1"/>
  <c r="L1032" i="1"/>
  <c r="K1032" i="1"/>
  <c r="J1032" i="1"/>
  <c r="G1032" i="1"/>
  <c r="F1032" i="1"/>
  <c r="E1032" i="1"/>
  <c r="D1032" i="1"/>
  <c r="C1032" i="1"/>
  <c r="B1032" i="1"/>
  <c r="A1032" i="1"/>
  <c r="M1031" i="1"/>
  <c r="L1031" i="1"/>
  <c r="K1031" i="1"/>
  <c r="J1031" i="1"/>
  <c r="G1031" i="1"/>
  <c r="F1031" i="1"/>
  <c r="E1031" i="1"/>
  <c r="D1031" i="1"/>
  <c r="C1031" i="1"/>
  <c r="B1031" i="1"/>
  <c r="A1031" i="1"/>
  <c r="M1030" i="1"/>
  <c r="L1030" i="1"/>
  <c r="K1030" i="1"/>
  <c r="J1030" i="1"/>
  <c r="G1030" i="1"/>
  <c r="F1030" i="1"/>
  <c r="E1030" i="1"/>
  <c r="D1030" i="1"/>
  <c r="C1030" i="1"/>
  <c r="B1030" i="1"/>
  <c r="A1030" i="1"/>
  <c r="L1029" i="1"/>
  <c r="K1029" i="1"/>
  <c r="J1029" i="1"/>
  <c r="G1029" i="1"/>
  <c r="F1029" i="1"/>
  <c r="E1029" i="1"/>
  <c r="D1029" i="1"/>
  <c r="C1029" i="1"/>
  <c r="B1029" i="1"/>
  <c r="A1029" i="1"/>
  <c r="M1028" i="1"/>
  <c r="L1027" i="1"/>
  <c r="K1027" i="1"/>
  <c r="J1027" i="1"/>
  <c r="I1027" i="1"/>
  <c r="G1027" i="1"/>
  <c r="F1027" i="1"/>
  <c r="E1027" i="1"/>
  <c r="D1027" i="1"/>
  <c r="C1027" i="1"/>
  <c r="B1027" i="1"/>
  <c r="A1027" i="1"/>
  <c r="I1025" i="1"/>
  <c r="H1025" i="1"/>
  <c r="M1024" i="1"/>
  <c r="L1024" i="1"/>
  <c r="K1024" i="1"/>
  <c r="J1024" i="1"/>
  <c r="G1024" i="1"/>
  <c r="F1024" i="1"/>
  <c r="E1024" i="1"/>
  <c r="D1024" i="1"/>
  <c r="C1024" i="1"/>
  <c r="B1024" i="1"/>
  <c r="A1024" i="1"/>
  <c r="M1023" i="1"/>
  <c r="L1023" i="1"/>
  <c r="K1023" i="1"/>
  <c r="J1023" i="1"/>
  <c r="G1023" i="1"/>
  <c r="F1023" i="1"/>
  <c r="E1023" i="1"/>
  <c r="D1023" i="1"/>
  <c r="C1023" i="1"/>
  <c r="B1023" i="1"/>
  <c r="A1023" i="1"/>
  <c r="M1022" i="1"/>
  <c r="L1022" i="1"/>
  <c r="K1022" i="1"/>
  <c r="J1022" i="1"/>
  <c r="G1022" i="1"/>
  <c r="F1022" i="1"/>
  <c r="E1022" i="1"/>
  <c r="D1022" i="1"/>
  <c r="C1022" i="1"/>
  <c r="B1022" i="1"/>
  <c r="A1022" i="1"/>
  <c r="M1021" i="1"/>
  <c r="L1021" i="1"/>
  <c r="K1021" i="1"/>
  <c r="J1021" i="1"/>
  <c r="G1021" i="1"/>
  <c r="F1021" i="1"/>
  <c r="E1021" i="1"/>
  <c r="D1021" i="1"/>
  <c r="C1021" i="1"/>
  <c r="B1021" i="1"/>
  <c r="A1021" i="1"/>
  <c r="M1020" i="1"/>
  <c r="L1020" i="1"/>
  <c r="K1020" i="1"/>
  <c r="J1020" i="1"/>
  <c r="G1020" i="1"/>
  <c r="F1020" i="1"/>
  <c r="E1020" i="1"/>
  <c r="D1020" i="1"/>
  <c r="C1020" i="1"/>
  <c r="B1020" i="1"/>
  <c r="A1020" i="1"/>
  <c r="M1019" i="1"/>
  <c r="L1019" i="1"/>
  <c r="K1019" i="1"/>
  <c r="J1019" i="1"/>
  <c r="G1019" i="1"/>
  <c r="F1019" i="1"/>
  <c r="E1019" i="1"/>
  <c r="D1019" i="1"/>
  <c r="C1019" i="1"/>
  <c r="B1019" i="1"/>
  <c r="A1019" i="1"/>
  <c r="M1018" i="1"/>
  <c r="L1018" i="1"/>
  <c r="K1018" i="1"/>
  <c r="J1018" i="1"/>
  <c r="G1018" i="1"/>
  <c r="F1018" i="1"/>
  <c r="E1018" i="1"/>
  <c r="D1018" i="1"/>
  <c r="C1018" i="1"/>
  <c r="B1018" i="1"/>
  <c r="A1018" i="1"/>
  <c r="M1017" i="1"/>
  <c r="L1017" i="1"/>
  <c r="K1017" i="1"/>
  <c r="J1017" i="1"/>
  <c r="G1017" i="1"/>
  <c r="F1017" i="1"/>
  <c r="E1017" i="1"/>
  <c r="D1017" i="1"/>
  <c r="C1017" i="1"/>
  <c r="B1017" i="1"/>
  <c r="A1017" i="1"/>
  <c r="M1016" i="1"/>
  <c r="L1016" i="1"/>
  <c r="K1016" i="1"/>
  <c r="J1016" i="1"/>
  <c r="G1016" i="1"/>
  <c r="F1016" i="1"/>
  <c r="E1016" i="1"/>
  <c r="D1016" i="1"/>
  <c r="C1016" i="1"/>
  <c r="B1016" i="1"/>
  <c r="A1016" i="1"/>
  <c r="M1015" i="1"/>
  <c r="L1015" i="1"/>
  <c r="K1015" i="1"/>
  <c r="J1015" i="1"/>
  <c r="G1015" i="1"/>
  <c r="F1015" i="1"/>
  <c r="E1015" i="1"/>
  <c r="D1015" i="1"/>
  <c r="C1015" i="1"/>
  <c r="B1015" i="1"/>
  <c r="A1015" i="1"/>
  <c r="M1014" i="1"/>
  <c r="L1014" i="1"/>
  <c r="K1014" i="1"/>
  <c r="J1014" i="1"/>
  <c r="G1014" i="1"/>
  <c r="F1014" i="1"/>
  <c r="E1014" i="1"/>
  <c r="D1014" i="1"/>
  <c r="C1014" i="1"/>
  <c r="B1014" i="1"/>
  <c r="A1014" i="1"/>
  <c r="M1013" i="1"/>
  <c r="L1013" i="1"/>
  <c r="K1013" i="1"/>
  <c r="J1013" i="1"/>
  <c r="G1013" i="1"/>
  <c r="F1013" i="1"/>
  <c r="E1013" i="1"/>
  <c r="D1013" i="1"/>
  <c r="C1013" i="1"/>
  <c r="B1013" i="1"/>
  <c r="A1013" i="1"/>
  <c r="M1012" i="1"/>
  <c r="L1012" i="1"/>
  <c r="K1012" i="1"/>
  <c r="J1012" i="1"/>
  <c r="G1012" i="1"/>
  <c r="F1012" i="1"/>
  <c r="E1012" i="1"/>
  <c r="D1012" i="1"/>
  <c r="C1012" i="1"/>
  <c r="B1012" i="1"/>
  <c r="A1012" i="1"/>
  <c r="M1011" i="1"/>
  <c r="L1011" i="1"/>
  <c r="K1011" i="1"/>
  <c r="J1011" i="1"/>
  <c r="G1011" i="1"/>
  <c r="F1011" i="1"/>
  <c r="E1011" i="1"/>
  <c r="D1011" i="1"/>
  <c r="C1011" i="1"/>
  <c r="B1011" i="1"/>
  <c r="A1011" i="1"/>
  <c r="M1010" i="1"/>
  <c r="L1010" i="1"/>
  <c r="K1010" i="1"/>
  <c r="J1010" i="1"/>
  <c r="G1010" i="1"/>
  <c r="F1010" i="1"/>
  <c r="E1010" i="1"/>
  <c r="D1010" i="1"/>
  <c r="C1010" i="1"/>
  <c r="B1010" i="1"/>
  <c r="A1010" i="1"/>
  <c r="M1009" i="1"/>
  <c r="L1009" i="1"/>
  <c r="K1009" i="1"/>
  <c r="J1009" i="1"/>
  <c r="G1009" i="1"/>
  <c r="F1009" i="1"/>
  <c r="E1009" i="1"/>
  <c r="D1009" i="1"/>
  <c r="C1009" i="1"/>
  <c r="B1009" i="1"/>
  <c r="A1009" i="1"/>
  <c r="M1008" i="1"/>
  <c r="L1008" i="1"/>
  <c r="K1008" i="1"/>
  <c r="J1008" i="1"/>
  <c r="G1008" i="1"/>
  <c r="F1008" i="1"/>
  <c r="E1008" i="1"/>
  <c r="D1008" i="1"/>
  <c r="C1008" i="1"/>
  <c r="B1008" i="1"/>
  <c r="A1008" i="1"/>
  <c r="L1007" i="1"/>
  <c r="K1007" i="1"/>
  <c r="J1007" i="1"/>
  <c r="G1007" i="1"/>
  <c r="F1007" i="1"/>
  <c r="E1007" i="1"/>
  <c r="D1007" i="1"/>
  <c r="C1007" i="1"/>
  <c r="B1007" i="1"/>
  <c r="A1007" i="1"/>
  <c r="M1005" i="1"/>
  <c r="I1005" i="1"/>
  <c r="H1005" i="1"/>
  <c r="M1004" i="1"/>
  <c r="L1004" i="1"/>
  <c r="K1004" i="1"/>
  <c r="J1004" i="1"/>
  <c r="G1004" i="1"/>
  <c r="F1004" i="1"/>
  <c r="E1004" i="1"/>
  <c r="D1004" i="1"/>
  <c r="C1004" i="1"/>
  <c r="B1004" i="1"/>
  <c r="A1004" i="1"/>
  <c r="M1003" i="1"/>
  <c r="L1003" i="1"/>
  <c r="K1003" i="1"/>
  <c r="J1003" i="1"/>
  <c r="G1003" i="1"/>
  <c r="F1003" i="1"/>
  <c r="E1003" i="1"/>
  <c r="D1003" i="1"/>
  <c r="C1003" i="1"/>
  <c r="B1003" i="1"/>
  <c r="A1003" i="1"/>
  <c r="M1002" i="1"/>
  <c r="L1002" i="1"/>
  <c r="K1002" i="1"/>
  <c r="J1002" i="1"/>
  <c r="G1002" i="1"/>
  <c r="F1002" i="1"/>
  <c r="E1002" i="1"/>
  <c r="D1002" i="1"/>
  <c r="C1002" i="1"/>
  <c r="B1002" i="1"/>
  <c r="A1002" i="1"/>
  <c r="M1001" i="1"/>
  <c r="L1001" i="1"/>
  <c r="K1001" i="1"/>
  <c r="J1001" i="1"/>
  <c r="G1001" i="1"/>
  <c r="F1001" i="1"/>
  <c r="E1001" i="1"/>
  <c r="D1001" i="1"/>
  <c r="C1001" i="1"/>
  <c r="B1001" i="1"/>
  <c r="A1001" i="1"/>
  <c r="M1000" i="1"/>
  <c r="L1000" i="1"/>
  <c r="K1000" i="1"/>
  <c r="J1000" i="1"/>
  <c r="G1000" i="1"/>
  <c r="F1000" i="1"/>
  <c r="E1000" i="1"/>
  <c r="D1000" i="1"/>
  <c r="C1000" i="1"/>
  <c r="B1000" i="1"/>
  <c r="A1000" i="1"/>
  <c r="M999" i="1"/>
  <c r="L999" i="1"/>
  <c r="K999" i="1"/>
  <c r="J999" i="1"/>
  <c r="G999" i="1"/>
  <c r="F999" i="1"/>
  <c r="E999" i="1"/>
  <c r="D999" i="1"/>
  <c r="C999" i="1"/>
  <c r="B999" i="1"/>
  <c r="A999" i="1"/>
  <c r="M998" i="1"/>
  <c r="L998" i="1"/>
  <c r="K998" i="1"/>
  <c r="J998" i="1"/>
  <c r="G998" i="1"/>
  <c r="F998" i="1"/>
  <c r="E998" i="1"/>
  <c r="D998" i="1"/>
  <c r="C998" i="1"/>
  <c r="B998" i="1"/>
  <c r="A998" i="1"/>
  <c r="L997" i="1"/>
  <c r="K997" i="1"/>
  <c r="J997" i="1"/>
  <c r="G997" i="1"/>
  <c r="F997" i="1"/>
  <c r="E997" i="1"/>
  <c r="D997" i="1"/>
  <c r="C997" i="1"/>
  <c r="B997" i="1"/>
  <c r="A997" i="1"/>
  <c r="M996" i="1"/>
  <c r="L995" i="1"/>
  <c r="K995" i="1"/>
  <c r="J995" i="1"/>
  <c r="I995" i="1"/>
  <c r="G995" i="1"/>
  <c r="F995" i="1"/>
  <c r="E995" i="1"/>
  <c r="D995" i="1"/>
  <c r="C995" i="1"/>
  <c r="B995" i="1"/>
  <c r="A995" i="1"/>
  <c r="M993" i="1"/>
  <c r="I993" i="1"/>
  <c r="H993" i="1"/>
  <c r="M992" i="1"/>
  <c r="L992" i="1"/>
  <c r="K992" i="1"/>
  <c r="J992" i="1"/>
  <c r="G992" i="1"/>
  <c r="F992" i="1"/>
  <c r="E992" i="1"/>
  <c r="D992" i="1"/>
  <c r="C992" i="1"/>
  <c r="B992" i="1"/>
  <c r="A992" i="1"/>
  <c r="L991" i="1"/>
  <c r="K991" i="1"/>
  <c r="J991" i="1"/>
  <c r="G991" i="1"/>
  <c r="F991" i="1"/>
  <c r="E991" i="1"/>
  <c r="D991" i="1"/>
  <c r="C991" i="1"/>
  <c r="B991" i="1"/>
  <c r="A991" i="1"/>
  <c r="M990" i="1"/>
  <c r="L989" i="1"/>
  <c r="K989" i="1"/>
  <c r="J989" i="1"/>
  <c r="I989" i="1"/>
  <c r="G989" i="1"/>
  <c r="F989" i="1"/>
  <c r="E989" i="1"/>
  <c r="D989" i="1"/>
  <c r="C989" i="1"/>
  <c r="B989" i="1"/>
  <c r="A989" i="1"/>
  <c r="M987" i="1"/>
  <c r="I987" i="1"/>
  <c r="H987" i="1"/>
  <c r="M986" i="1"/>
  <c r="L986" i="1"/>
  <c r="K986" i="1"/>
  <c r="J986" i="1"/>
  <c r="G986" i="1"/>
  <c r="F986" i="1"/>
  <c r="E986" i="1"/>
  <c r="D986" i="1"/>
  <c r="C986" i="1"/>
  <c r="B986" i="1"/>
  <c r="A986" i="1"/>
  <c r="M985" i="1"/>
  <c r="L985" i="1"/>
  <c r="K985" i="1"/>
  <c r="J985" i="1"/>
  <c r="G985" i="1"/>
  <c r="F985" i="1"/>
  <c r="E985" i="1"/>
  <c r="D985" i="1"/>
  <c r="C985" i="1"/>
  <c r="B985" i="1"/>
  <c r="A985" i="1"/>
  <c r="M984" i="1"/>
  <c r="L984" i="1"/>
  <c r="K984" i="1"/>
  <c r="J984" i="1"/>
  <c r="G984" i="1"/>
  <c r="F984" i="1"/>
  <c r="E984" i="1"/>
  <c r="D984" i="1"/>
  <c r="C984" i="1"/>
  <c r="B984" i="1"/>
  <c r="A984" i="1"/>
  <c r="M983" i="1"/>
  <c r="L983" i="1"/>
  <c r="K983" i="1"/>
  <c r="J983" i="1"/>
  <c r="G983" i="1"/>
  <c r="F983" i="1"/>
  <c r="E983" i="1"/>
  <c r="D983" i="1"/>
  <c r="C983" i="1"/>
  <c r="B983" i="1"/>
  <c r="A983" i="1"/>
  <c r="L982" i="1"/>
  <c r="K982" i="1"/>
  <c r="J982" i="1"/>
  <c r="G982" i="1"/>
  <c r="F982" i="1"/>
  <c r="E982" i="1"/>
  <c r="D982" i="1"/>
  <c r="C982" i="1"/>
  <c r="B982" i="1"/>
  <c r="A982" i="1"/>
  <c r="M980" i="1"/>
  <c r="I980" i="1"/>
  <c r="H980" i="1"/>
  <c r="M979" i="1"/>
  <c r="L979" i="1"/>
  <c r="K979" i="1"/>
  <c r="J979" i="1"/>
  <c r="G979" i="1"/>
  <c r="F979" i="1"/>
  <c r="E979" i="1"/>
  <c r="D979" i="1"/>
  <c r="C979" i="1"/>
  <c r="B979" i="1"/>
  <c r="A979" i="1"/>
  <c r="M978" i="1"/>
  <c r="L978" i="1"/>
  <c r="K978" i="1"/>
  <c r="J978" i="1"/>
  <c r="G978" i="1"/>
  <c r="F978" i="1"/>
  <c r="E978" i="1"/>
  <c r="D978" i="1"/>
  <c r="C978" i="1"/>
  <c r="B978" i="1"/>
  <c r="A978" i="1"/>
  <c r="M977" i="1"/>
  <c r="L977" i="1"/>
  <c r="K977" i="1"/>
  <c r="J977" i="1"/>
  <c r="G977" i="1"/>
  <c r="F977" i="1"/>
  <c r="E977" i="1"/>
  <c r="D977" i="1"/>
  <c r="C977" i="1"/>
  <c r="B977" i="1"/>
  <c r="A977" i="1"/>
  <c r="M976" i="1"/>
  <c r="L976" i="1"/>
  <c r="K976" i="1"/>
  <c r="J976" i="1"/>
  <c r="G976" i="1"/>
  <c r="F976" i="1"/>
  <c r="E976" i="1"/>
  <c r="D976" i="1"/>
  <c r="C976" i="1"/>
  <c r="B976" i="1"/>
  <c r="A976" i="1"/>
  <c r="M975" i="1"/>
  <c r="L975" i="1"/>
  <c r="K975" i="1"/>
  <c r="J975" i="1"/>
  <c r="G975" i="1"/>
  <c r="F975" i="1"/>
  <c r="E975" i="1"/>
  <c r="D975" i="1"/>
  <c r="C975" i="1"/>
  <c r="B975" i="1"/>
  <c r="A975" i="1"/>
  <c r="M974" i="1"/>
  <c r="L974" i="1"/>
  <c r="K974" i="1"/>
  <c r="J974" i="1"/>
  <c r="G974" i="1"/>
  <c r="F974" i="1"/>
  <c r="E974" i="1"/>
  <c r="D974" i="1"/>
  <c r="C974" i="1"/>
  <c r="B974" i="1"/>
  <c r="A974" i="1"/>
  <c r="M973" i="1"/>
  <c r="L973" i="1"/>
  <c r="K973" i="1"/>
  <c r="J973" i="1"/>
  <c r="G973" i="1"/>
  <c r="F973" i="1"/>
  <c r="E973" i="1"/>
  <c r="D973" i="1"/>
  <c r="C973" i="1"/>
  <c r="B973" i="1"/>
  <c r="A973" i="1"/>
  <c r="M972" i="1"/>
  <c r="L972" i="1"/>
  <c r="K972" i="1"/>
  <c r="J972" i="1"/>
  <c r="G972" i="1"/>
  <c r="F972" i="1"/>
  <c r="E972" i="1"/>
  <c r="D972" i="1"/>
  <c r="C972" i="1"/>
  <c r="B972" i="1"/>
  <c r="A972" i="1"/>
  <c r="M971" i="1"/>
  <c r="L971" i="1"/>
  <c r="K971" i="1"/>
  <c r="J971" i="1"/>
  <c r="G971" i="1"/>
  <c r="F971" i="1"/>
  <c r="E971" i="1"/>
  <c r="D971" i="1"/>
  <c r="C971" i="1"/>
  <c r="B971" i="1"/>
  <c r="A971" i="1"/>
  <c r="L970" i="1"/>
  <c r="K970" i="1"/>
  <c r="J970" i="1"/>
  <c r="G970" i="1"/>
  <c r="F970" i="1"/>
  <c r="E970" i="1"/>
  <c r="D970" i="1"/>
  <c r="C970" i="1"/>
  <c r="B970" i="1"/>
  <c r="A970" i="1"/>
  <c r="M968" i="1"/>
  <c r="I968" i="1"/>
  <c r="H968" i="1"/>
  <c r="M967" i="1"/>
  <c r="L967" i="1"/>
  <c r="K967" i="1"/>
  <c r="J967" i="1"/>
  <c r="G967" i="1"/>
  <c r="F967" i="1"/>
  <c r="E967" i="1"/>
  <c r="D967" i="1"/>
  <c r="C967" i="1"/>
  <c r="B967" i="1"/>
  <c r="A967" i="1"/>
  <c r="M966" i="1"/>
  <c r="L966" i="1"/>
  <c r="K966" i="1"/>
  <c r="J966" i="1"/>
  <c r="G966" i="1"/>
  <c r="F966" i="1"/>
  <c r="E966" i="1"/>
  <c r="D966" i="1"/>
  <c r="C966" i="1"/>
  <c r="B966" i="1"/>
  <c r="A966" i="1"/>
  <c r="M965" i="1"/>
  <c r="L965" i="1"/>
  <c r="K965" i="1"/>
  <c r="J965" i="1"/>
  <c r="G965" i="1"/>
  <c r="F965" i="1"/>
  <c r="E965" i="1"/>
  <c r="D965" i="1"/>
  <c r="C965" i="1"/>
  <c r="B965" i="1"/>
  <c r="A965" i="1"/>
  <c r="M964" i="1"/>
  <c r="L964" i="1"/>
  <c r="K964" i="1"/>
  <c r="J964" i="1"/>
  <c r="G964" i="1"/>
  <c r="F964" i="1"/>
  <c r="E964" i="1"/>
  <c r="D964" i="1"/>
  <c r="C964" i="1"/>
  <c r="B964" i="1"/>
  <c r="A964" i="1"/>
  <c r="M963" i="1"/>
  <c r="L963" i="1"/>
  <c r="K963" i="1"/>
  <c r="J963" i="1"/>
  <c r="G963" i="1"/>
  <c r="F963" i="1"/>
  <c r="E963" i="1"/>
  <c r="D963" i="1"/>
  <c r="C963" i="1"/>
  <c r="B963" i="1"/>
  <c r="A963" i="1"/>
  <c r="M962" i="1"/>
  <c r="L962" i="1"/>
  <c r="K962" i="1"/>
  <c r="J962" i="1"/>
  <c r="G962" i="1"/>
  <c r="F962" i="1"/>
  <c r="E962" i="1"/>
  <c r="D962" i="1"/>
  <c r="C962" i="1"/>
  <c r="B962" i="1"/>
  <c r="A962" i="1"/>
  <c r="M961" i="1"/>
  <c r="L961" i="1"/>
  <c r="K961" i="1"/>
  <c r="J961" i="1"/>
  <c r="G961" i="1"/>
  <c r="F961" i="1"/>
  <c r="E961" i="1"/>
  <c r="D961" i="1"/>
  <c r="C961" i="1"/>
  <c r="B961" i="1"/>
  <c r="A961" i="1"/>
  <c r="M960" i="1"/>
  <c r="L960" i="1"/>
  <c r="K960" i="1"/>
  <c r="J960" i="1"/>
  <c r="G960" i="1"/>
  <c r="F960" i="1"/>
  <c r="E960" i="1"/>
  <c r="D960" i="1"/>
  <c r="C960" i="1"/>
  <c r="B960" i="1"/>
  <c r="A960" i="1"/>
  <c r="M959" i="1"/>
  <c r="L959" i="1"/>
  <c r="K959" i="1"/>
  <c r="J959" i="1"/>
  <c r="G959" i="1"/>
  <c r="F959" i="1"/>
  <c r="E959" i="1"/>
  <c r="D959" i="1"/>
  <c r="C959" i="1"/>
  <c r="B959" i="1"/>
  <c r="A959" i="1"/>
  <c r="M958" i="1"/>
  <c r="L958" i="1"/>
  <c r="K958" i="1"/>
  <c r="J958" i="1"/>
  <c r="G958" i="1"/>
  <c r="F958" i="1"/>
  <c r="E958" i="1"/>
  <c r="D958" i="1"/>
  <c r="C958" i="1"/>
  <c r="B958" i="1"/>
  <c r="A958" i="1"/>
  <c r="M957" i="1"/>
  <c r="L957" i="1"/>
  <c r="K957" i="1"/>
  <c r="J957" i="1"/>
  <c r="G957" i="1"/>
  <c r="F957" i="1"/>
  <c r="E957" i="1"/>
  <c r="D957" i="1"/>
  <c r="C957" i="1"/>
  <c r="B957" i="1"/>
  <c r="A957" i="1"/>
  <c r="M956" i="1"/>
  <c r="L956" i="1"/>
  <c r="K956" i="1"/>
  <c r="J956" i="1"/>
  <c r="G956" i="1"/>
  <c r="F956" i="1"/>
  <c r="E956" i="1"/>
  <c r="D956" i="1"/>
  <c r="C956" i="1"/>
  <c r="B956" i="1"/>
  <c r="A956" i="1"/>
  <c r="M955" i="1"/>
  <c r="L955" i="1"/>
  <c r="K955" i="1"/>
  <c r="J955" i="1"/>
  <c r="G955" i="1"/>
  <c r="F955" i="1"/>
  <c r="E955" i="1"/>
  <c r="D955" i="1"/>
  <c r="C955" i="1"/>
  <c r="B955" i="1"/>
  <c r="A955" i="1"/>
  <c r="M954" i="1"/>
  <c r="L954" i="1"/>
  <c r="K954" i="1"/>
  <c r="J954" i="1"/>
  <c r="G954" i="1"/>
  <c r="F954" i="1"/>
  <c r="E954" i="1"/>
  <c r="D954" i="1"/>
  <c r="C954" i="1"/>
  <c r="B954" i="1"/>
  <c r="A954" i="1"/>
  <c r="M953" i="1"/>
  <c r="L953" i="1"/>
  <c r="K953" i="1"/>
  <c r="J953" i="1"/>
  <c r="G953" i="1"/>
  <c r="F953" i="1"/>
  <c r="E953" i="1"/>
  <c r="D953" i="1"/>
  <c r="C953" i="1"/>
  <c r="B953" i="1"/>
  <c r="A953" i="1"/>
  <c r="M952" i="1"/>
  <c r="L952" i="1"/>
  <c r="K952" i="1"/>
  <c r="J952" i="1"/>
  <c r="G952" i="1"/>
  <c r="F952" i="1"/>
  <c r="E952" i="1"/>
  <c r="D952" i="1"/>
  <c r="C952" i="1"/>
  <c r="B952" i="1"/>
  <c r="A952" i="1"/>
  <c r="M951" i="1"/>
  <c r="L951" i="1"/>
  <c r="K951" i="1"/>
  <c r="J951" i="1"/>
  <c r="G951" i="1"/>
  <c r="F951" i="1"/>
  <c r="E951" i="1"/>
  <c r="D951" i="1"/>
  <c r="C951" i="1"/>
  <c r="B951" i="1"/>
  <c r="A951" i="1"/>
  <c r="M950" i="1"/>
  <c r="L950" i="1"/>
  <c r="K950" i="1"/>
  <c r="J950" i="1"/>
  <c r="G950" i="1"/>
  <c r="F950" i="1"/>
  <c r="E950" i="1"/>
  <c r="D950" i="1"/>
  <c r="C950" i="1"/>
  <c r="B950" i="1"/>
  <c r="A950" i="1"/>
  <c r="M949" i="1"/>
  <c r="L949" i="1"/>
  <c r="K949" i="1"/>
  <c r="J949" i="1"/>
  <c r="G949" i="1"/>
  <c r="F949" i="1"/>
  <c r="E949" i="1"/>
  <c r="D949" i="1"/>
  <c r="C949" i="1"/>
  <c r="B949" i="1"/>
  <c r="A949" i="1"/>
  <c r="M948" i="1"/>
  <c r="L948" i="1"/>
  <c r="K948" i="1"/>
  <c r="J948" i="1"/>
  <c r="G948" i="1"/>
  <c r="F948" i="1"/>
  <c r="E948" i="1"/>
  <c r="D948" i="1"/>
  <c r="C948" i="1"/>
  <c r="B948" i="1"/>
  <c r="A948" i="1"/>
  <c r="M947" i="1"/>
  <c r="L947" i="1"/>
  <c r="K947" i="1"/>
  <c r="J947" i="1"/>
  <c r="G947" i="1"/>
  <c r="F947" i="1"/>
  <c r="E947" i="1"/>
  <c r="D947" i="1"/>
  <c r="C947" i="1"/>
  <c r="B947" i="1"/>
  <c r="A947" i="1"/>
  <c r="M946" i="1"/>
  <c r="L946" i="1"/>
  <c r="K946" i="1"/>
  <c r="J946" i="1"/>
  <c r="G946" i="1"/>
  <c r="F946" i="1"/>
  <c r="E946" i="1"/>
  <c r="D946" i="1"/>
  <c r="C946" i="1"/>
  <c r="B946" i="1"/>
  <c r="A946" i="1"/>
  <c r="M945" i="1"/>
  <c r="L945" i="1"/>
  <c r="K945" i="1"/>
  <c r="J945" i="1"/>
  <c r="G945" i="1"/>
  <c r="F945" i="1"/>
  <c r="E945" i="1"/>
  <c r="D945" i="1"/>
  <c r="C945" i="1"/>
  <c r="B945" i="1"/>
  <c r="A945" i="1"/>
  <c r="M944" i="1"/>
  <c r="L944" i="1"/>
  <c r="K944" i="1"/>
  <c r="J944" i="1"/>
  <c r="G944" i="1"/>
  <c r="F944" i="1"/>
  <c r="E944" i="1"/>
  <c r="D944" i="1"/>
  <c r="C944" i="1"/>
  <c r="B944" i="1"/>
  <c r="A944" i="1"/>
  <c r="M943" i="1"/>
  <c r="L943" i="1"/>
  <c r="K943" i="1"/>
  <c r="J943" i="1"/>
  <c r="G943" i="1"/>
  <c r="F943" i="1"/>
  <c r="E943" i="1"/>
  <c r="D943" i="1"/>
  <c r="C943" i="1"/>
  <c r="B943" i="1"/>
  <c r="A943" i="1"/>
  <c r="M942" i="1"/>
  <c r="L942" i="1"/>
  <c r="K942" i="1"/>
  <c r="J942" i="1"/>
  <c r="G942" i="1"/>
  <c r="F942" i="1"/>
  <c r="E942" i="1"/>
  <c r="D942" i="1"/>
  <c r="C942" i="1"/>
  <c r="B942" i="1"/>
  <c r="A942" i="1"/>
  <c r="M941" i="1"/>
  <c r="L941" i="1"/>
  <c r="K941" i="1"/>
  <c r="J941" i="1"/>
  <c r="G941" i="1"/>
  <c r="F941" i="1"/>
  <c r="E941" i="1"/>
  <c r="D941" i="1"/>
  <c r="C941" i="1"/>
  <c r="B941" i="1"/>
  <c r="A941" i="1"/>
  <c r="M940" i="1"/>
  <c r="L940" i="1"/>
  <c r="K940" i="1"/>
  <c r="J940" i="1"/>
  <c r="G940" i="1"/>
  <c r="F940" i="1"/>
  <c r="E940" i="1"/>
  <c r="D940" i="1"/>
  <c r="C940" i="1"/>
  <c r="B940" i="1"/>
  <c r="A940" i="1"/>
  <c r="M939" i="1"/>
  <c r="L939" i="1"/>
  <c r="K939" i="1"/>
  <c r="J939" i="1"/>
  <c r="G939" i="1"/>
  <c r="F939" i="1"/>
  <c r="E939" i="1"/>
  <c r="D939" i="1"/>
  <c r="C939" i="1"/>
  <c r="B939" i="1"/>
  <c r="A939" i="1"/>
  <c r="M938" i="1"/>
  <c r="L938" i="1"/>
  <c r="K938" i="1"/>
  <c r="J938" i="1"/>
  <c r="G938" i="1"/>
  <c r="F938" i="1"/>
  <c r="E938" i="1"/>
  <c r="D938" i="1"/>
  <c r="C938" i="1"/>
  <c r="B938" i="1"/>
  <c r="A938" i="1"/>
  <c r="M937" i="1"/>
  <c r="L937" i="1"/>
  <c r="K937" i="1"/>
  <c r="J937" i="1"/>
  <c r="G937" i="1"/>
  <c r="F937" i="1"/>
  <c r="E937" i="1"/>
  <c r="D937" i="1"/>
  <c r="C937" i="1"/>
  <c r="B937" i="1"/>
  <c r="A937" i="1"/>
  <c r="M936" i="1"/>
  <c r="L936" i="1"/>
  <c r="K936" i="1"/>
  <c r="J936" i="1"/>
  <c r="G936" i="1"/>
  <c r="F936" i="1"/>
  <c r="E936" i="1"/>
  <c r="D936" i="1"/>
  <c r="C936" i="1"/>
  <c r="B936" i="1"/>
  <c r="A936" i="1"/>
  <c r="M935" i="1"/>
  <c r="L935" i="1"/>
  <c r="K935" i="1"/>
  <c r="J935" i="1"/>
  <c r="G935" i="1"/>
  <c r="F935" i="1"/>
  <c r="E935" i="1"/>
  <c r="D935" i="1"/>
  <c r="C935" i="1"/>
  <c r="B935" i="1"/>
  <c r="A935" i="1"/>
  <c r="M934" i="1"/>
  <c r="L934" i="1"/>
  <c r="K934" i="1"/>
  <c r="J934" i="1"/>
  <c r="G934" i="1"/>
  <c r="F934" i="1"/>
  <c r="E934" i="1"/>
  <c r="D934" i="1"/>
  <c r="C934" i="1"/>
  <c r="B934" i="1"/>
  <c r="A934" i="1"/>
  <c r="M933" i="1"/>
  <c r="L933" i="1"/>
  <c r="K933" i="1"/>
  <c r="J933" i="1"/>
  <c r="G933" i="1"/>
  <c r="F933" i="1"/>
  <c r="E933" i="1"/>
  <c r="D933" i="1"/>
  <c r="C933" i="1"/>
  <c r="B933" i="1"/>
  <c r="A933" i="1"/>
  <c r="M932" i="1"/>
  <c r="L932" i="1"/>
  <c r="K932" i="1"/>
  <c r="J932" i="1"/>
  <c r="G932" i="1"/>
  <c r="F932" i="1"/>
  <c r="E932" i="1"/>
  <c r="D932" i="1"/>
  <c r="C932" i="1"/>
  <c r="B932" i="1"/>
  <c r="A932" i="1"/>
  <c r="M931" i="1"/>
  <c r="L931" i="1"/>
  <c r="K931" i="1"/>
  <c r="J931" i="1"/>
  <c r="G931" i="1"/>
  <c r="F931" i="1"/>
  <c r="E931" i="1"/>
  <c r="D931" i="1"/>
  <c r="C931" i="1"/>
  <c r="B931" i="1"/>
  <c r="A931" i="1"/>
  <c r="M930" i="1"/>
  <c r="L930" i="1"/>
  <c r="K930" i="1"/>
  <c r="J930" i="1"/>
  <c r="G930" i="1"/>
  <c r="F930" i="1"/>
  <c r="E930" i="1"/>
  <c r="D930" i="1"/>
  <c r="C930" i="1"/>
  <c r="B930" i="1"/>
  <c r="A930" i="1"/>
  <c r="M929" i="1"/>
  <c r="L929" i="1"/>
  <c r="K929" i="1"/>
  <c r="J929" i="1"/>
  <c r="G929" i="1"/>
  <c r="F929" i="1"/>
  <c r="E929" i="1"/>
  <c r="D929" i="1"/>
  <c r="C929" i="1"/>
  <c r="B929" i="1"/>
  <c r="A929" i="1"/>
  <c r="M928" i="1"/>
  <c r="L928" i="1"/>
  <c r="K928" i="1"/>
  <c r="J928" i="1"/>
  <c r="G928" i="1"/>
  <c r="F928" i="1"/>
  <c r="E928" i="1"/>
  <c r="D928" i="1"/>
  <c r="C928" i="1"/>
  <c r="B928" i="1"/>
  <c r="A928" i="1"/>
  <c r="M927" i="1"/>
  <c r="L927" i="1"/>
  <c r="K927" i="1"/>
  <c r="J927" i="1"/>
  <c r="G927" i="1"/>
  <c r="F927" i="1"/>
  <c r="E927" i="1"/>
  <c r="D927" i="1"/>
  <c r="C927" i="1"/>
  <c r="B927" i="1"/>
  <c r="A927" i="1"/>
  <c r="M926" i="1"/>
  <c r="L926" i="1"/>
  <c r="K926" i="1"/>
  <c r="J926" i="1"/>
  <c r="G926" i="1"/>
  <c r="F926" i="1"/>
  <c r="E926" i="1"/>
  <c r="D926" i="1"/>
  <c r="C926" i="1"/>
  <c r="B926" i="1"/>
  <c r="A926" i="1"/>
  <c r="M925" i="1"/>
  <c r="L925" i="1"/>
  <c r="K925" i="1"/>
  <c r="J925" i="1"/>
  <c r="G925" i="1"/>
  <c r="F925" i="1"/>
  <c r="E925" i="1"/>
  <c r="D925" i="1"/>
  <c r="C925" i="1"/>
  <c r="B925" i="1"/>
  <c r="A925" i="1"/>
  <c r="M924" i="1"/>
  <c r="L924" i="1"/>
  <c r="K924" i="1"/>
  <c r="J924" i="1"/>
  <c r="G924" i="1"/>
  <c r="F924" i="1"/>
  <c r="E924" i="1"/>
  <c r="D924" i="1"/>
  <c r="C924" i="1"/>
  <c r="B924" i="1"/>
  <c r="A924" i="1"/>
  <c r="M923" i="1"/>
  <c r="L923" i="1"/>
  <c r="K923" i="1"/>
  <c r="J923" i="1"/>
  <c r="G923" i="1"/>
  <c r="F923" i="1"/>
  <c r="E923" i="1"/>
  <c r="D923" i="1"/>
  <c r="C923" i="1"/>
  <c r="B923" i="1"/>
  <c r="A923" i="1"/>
  <c r="M922" i="1"/>
  <c r="L922" i="1"/>
  <c r="K922" i="1"/>
  <c r="J922" i="1"/>
  <c r="G922" i="1"/>
  <c r="F922" i="1"/>
  <c r="E922" i="1"/>
  <c r="D922" i="1"/>
  <c r="C922" i="1"/>
  <c r="B922" i="1"/>
  <c r="A922" i="1"/>
  <c r="M921" i="1"/>
  <c r="L921" i="1"/>
  <c r="K921" i="1"/>
  <c r="J921" i="1"/>
  <c r="G921" i="1"/>
  <c r="F921" i="1"/>
  <c r="E921" i="1"/>
  <c r="D921" i="1"/>
  <c r="C921" i="1"/>
  <c r="B921" i="1"/>
  <c r="A921" i="1"/>
  <c r="M920" i="1"/>
  <c r="L920" i="1"/>
  <c r="K920" i="1"/>
  <c r="J920" i="1"/>
  <c r="G920" i="1"/>
  <c r="F920" i="1"/>
  <c r="E920" i="1"/>
  <c r="D920" i="1"/>
  <c r="C920" i="1"/>
  <c r="B920" i="1"/>
  <c r="A920" i="1"/>
  <c r="M919" i="1"/>
  <c r="L919" i="1"/>
  <c r="K919" i="1"/>
  <c r="J919" i="1"/>
  <c r="G919" i="1"/>
  <c r="F919" i="1"/>
  <c r="E919" i="1"/>
  <c r="D919" i="1"/>
  <c r="C919" i="1"/>
  <c r="B919" i="1"/>
  <c r="A919" i="1"/>
  <c r="M918" i="1"/>
  <c r="L918" i="1"/>
  <c r="K918" i="1"/>
  <c r="J918" i="1"/>
  <c r="G918" i="1"/>
  <c r="F918" i="1"/>
  <c r="E918" i="1"/>
  <c r="D918" i="1"/>
  <c r="C918" i="1"/>
  <c r="B918" i="1"/>
  <c r="A918" i="1"/>
  <c r="M917" i="1"/>
  <c r="L917" i="1"/>
  <c r="K917" i="1"/>
  <c r="J917" i="1"/>
  <c r="G917" i="1"/>
  <c r="F917" i="1"/>
  <c r="E917" i="1"/>
  <c r="D917" i="1"/>
  <c r="C917" i="1"/>
  <c r="B917" i="1"/>
  <c r="A917" i="1"/>
  <c r="M916" i="1"/>
  <c r="L916" i="1"/>
  <c r="K916" i="1"/>
  <c r="J916" i="1"/>
  <c r="G916" i="1"/>
  <c r="F916" i="1"/>
  <c r="E916" i="1"/>
  <c r="D916" i="1"/>
  <c r="C916" i="1"/>
  <c r="B916" i="1"/>
  <c r="A916" i="1"/>
  <c r="M915" i="1"/>
  <c r="L915" i="1"/>
  <c r="K915" i="1"/>
  <c r="J915" i="1"/>
  <c r="G915" i="1"/>
  <c r="F915" i="1"/>
  <c r="E915" i="1"/>
  <c r="D915" i="1"/>
  <c r="C915" i="1"/>
  <c r="B915" i="1"/>
  <c r="A915" i="1"/>
  <c r="M914" i="1"/>
  <c r="L914" i="1"/>
  <c r="K914" i="1"/>
  <c r="J914" i="1"/>
  <c r="G914" i="1"/>
  <c r="F914" i="1"/>
  <c r="E914" i="1"/>
  <c r="D914" i="1"/>
  <c r="C914" i="1"/>
  <c r="B914" i="1"/>
  <c r="A914" i="1"/>
  <c r="M913" i="1"/>
  <c r="L913" i="1"/>
  <c r="K913" i="1"/>
  <c r="J913" i="1"/>
  <c r="G913" i="1"/>
  <c r="F913" i="1"/>
  <c r="E913" i="1"/>
  <c r="D913" i="1"/>
  <c r="C913" i="1"/>
  <c r="B913" i="1"/>
  <c r="A913" i="1"/>
  <c r="M912" i="1"/>
  <c r="L912" i="1"/>
  <c r="K912" i="1"/>
  <c r="J912" i="1"/>
  <c r="G912" i="1"/>
  <c r="F912" i="1"/>
  <c r="E912" i="1"/>
  <c r="D912" i="1"/>
  <c r="C912" i="1"/>
  <c r="B912" i="1"/>
  <c r="A912" i="1"/>
  <c r="M911" i="1"/>
  <c r="L911" i="1"/>
  <c r="K911" i="1"/>
  <c r="J911" i="1"/>
  <c r="G911" i="1"/>
  <c r="F911" i="1"/>
  <c r="E911" i="1"/>
  <c r="D911" i="1"/>
  <c r="C911" i="1"/>
  <c r="B911" i="1"/>
  <c r="A911" i="1"/>
  <c r="M910" i="1"/>
  <c r="L910" i="1"/>
  <c r="K910" i="1"/>
  <c r="J910" i="1"/>
  <c r="G910" i="1"/>
  <c r="F910" i="1"/>
  <c r="E910" i="1"/>
  <c r="D910" i="1"/>
  <c r="C910" i="1"/>
  <c r="B910" i="1"/>
  <c r="A910" i="1"/>
  <c r="M909" i="1"/>
  <c r="L909" i="1"/>
  <c r="K909" i="1"/>
  <c r="J909" i="1"/>
  <c r="G909" i="1"/>
  <c r="F909" i="1"/>
  <c r="E909" i="1"/>
  <c r="D909" i="1"/>
  <c r="C909" i="1"/>
  <c r="B909" i="1"/>
  <c r="A909" i="1"/>
  <c r="M908" i="1"/>
  <c r="L908" i="1"/>
  <c r="K908" i="1"/>
  <c r="J908" i="1"/>
  <c r="G908" i="1"/>
  <c r="F908" i="1"/>
  <c r="E908" i="1"/>
  <c r="D908" i="1"/>
  <c r="C908" i="1"/>
  <c r="B908" i="1"/>
  <c r="A908" i="1"/>
  <c r="M907" i="1"/>
  <c r="L907" i="1"/>
  <c r="K907" i="1"/>
  <c r="J907" i="1"/>
  <c r="G907" i="1"/>
  <c r="F907" i="1"/>
  <c r="E907" i="1"/>
  <c r="D907" i="1"/>
  <c r="C907" i="1"/>
  <c r="B907" i="1"/>
  <c r="A907" i="1"/>
  <c r="M906" i="1"/>
  <c r="L906" i="1"/>
  <c r="K906" i="1"/>
  <c r="J906" i="1"/>
  <c r="G906" i="1"/>
  <c r="F906" i="1"/>
  <c r="E906" i="1"/>
  <c r="D906" i="1"/>
  <c r="C906" i="1"/>
  <c r="B906" i="1"/>
  <c r="A906" i="1"/>
  <c r="M905" i="1"/>
  <c r="L905" i="1"/>
  <c r="K905" i="1"/>
  <c r="J905" i="1"/>
  <c r="G905" i="1"/>
  <c r="F905" i="1"/>
  <c r="E905" i="1"/>
  <c r="D905" i="1"/>
  <c r="C905" i="1"/>
  <c r="B905" i="1"/>
  <c r="A905" i="1"/>
  <c r="M904" i="1"/>
  <c r="L904" i="1"/>
  <c r="K904" i="1"/>
  <c r="J904" i="1"/>
  <c r="G904" i="1"/>
  <c r="F904" i="1"/>
  <c r="E904" i="1"/>
  <c r="D904" i="1"/>
  <c r="C904" i="1"/>
  <c r="B904" i="1"/>
  <c r="A904" i="1"/>
  <c r="M903" i="1"/>
  <c r="L903" i="1"/>
  <c r="K903" i="1"/>
  <c r="J903" i="1"/>
  <c r="G903" i="1"/>
  <c r="F903" i="1"/>
  <c r="E903" i="1"/>
  <c r="D903" i="1"/>
  <c r="C903" i="1"/>
  <c r="B903" i="1"/>
  <c r="A903" i="1"/>
  <c r="M902" i="1"/>
  <c r="L902" i="1"/>
  <c r="K902" i="1"/>
  <c r="J902" i="1"/>
  <c r="G902" i="1"/>
  <c r="F902" i="1"/>
  <c r="E902" i="1"/>
  <c r="D902" i="1"/>
  <c r="C902" i="1"/>
  <c r="B902" i="1"/>
  <c r="A902" i="1"/>
  <c r="M901" i="1"/>
  <c r="L901" i="1"/>
  <c r="K901" i="1"/>
  <c r="J901" i="1"/>
  <c r="G901" i="1"/>
  <c r="F901" i="1"/>
  <c r="E901" i="1"/>
  <c r="D901" i="1"/>
  <c r="C901" i="1"/>
  <c r="B901" i="1"/>
  <c r="A901" i="1"/>
  <c r="M900" i="1"/>
  <c r="L900" i="1"/>
  <c r="K900" i="1"/>
  <c r="J900" i="1"/>
  <c r="G900" i="1"/>
  <c r="F900" i="1"/>
  <c r="E900" i="1"/>
  <c r="D900" i="1"/>
  <c r="C900" i="1"/>
  <c r="B900" i="1"/>
  <c r="A900" i="1"/>
  <c r="M899" i="1"/>
  <c r="L899" i="1"/>
  <c r="K899" i="1"/>
  <c r="J899" i="1"/>
  <c r="G899" i="1"/>
  <c r="F899" i="1"/>
  <c r="E899" i="1"/>
  <c r="D899" i="1"/>
  <c r="C899" i="1"/>
  <c r="B899" i="1"/>
  <c r="A899" i="1"/>
  <c r="L898" i="1"/>
  <c r="K898" i="1"/>
  <c r="J898" i="1"/>
  <c r="G898" i="1"/>
  <c r="F898" i="1"/>
  <c r="E898" i="1"/>
  <c r="D898" i="1"/>
  <c r="C898" i="1"/>
  <c r="B898" i="1"/>
  <c r="A898" i="1"/>
  <c r="M896" i="1"/>
  <c r="I896" i="1"/>
  <c r="H896" i="1"/>
  <c r="M895" i="1"/>
  <c r="L895" i="1"/>
  <c r="K895" i="1"/>
  <c r="J895" i="1"/>
  <c r="G895" i="1"/>
  <c r="F895" i="1"/>
  <c r="E895" i="1"/>
  <c r="D895" i="1"/>
  <c r="C895" i="1"/>
  <c r="B895" i="1"/>
  <c r="A895" i="1"/>
  <c r="M894" i="1"/>
  <c r="L894" i="1"/>
  <c r="K894" i="1"/>
  <c r="J894" i="1"/>
  <c r="G894" i="1"/>
  <c r="F894" i="1"/>
  <c r="E894" i="1"/>
  <c r="D894" i="1"/>
  <c r="C894" i="1"/>
  <c r="B894" i="1"/>
  <c r="A894" i="1"/>
  <c r="M893" i="1"/>
  <c r="L893" i="1"/>
  <c r="K893" i="1"/>
  <c r="J893" i="1"/>
  <c r="G893" i="1"/>
  <c r="F893" i="1"/>
  <c r="E893" i="1"/>
  <c r="D893" i="1"/>
  <c r="C893" i="1"/>
  <c r="B893" i="1"/>
  <c r="A893" i="1"/>
  <c r="M892" i="1"/>
  <c r="L892" i="1"/>
  <c r="K892" i="1"/>
  <c r="J892" i="1"/>
  <c r="G892" i="1"/>
  <c r="F892" i="1"/>
  <c r="E892" i="1"/>
  <c r="D892" i="1"/>
  <c r="C892" i="1"/>
  <c r="B892" i="1"/>
  <c r="A892" i="1"/>
  <c r="L891" i="1"/>
  <c r="K891" i="1"/>
  <c r="J891" i="1"/>
  <c r="G891" i="1"/>
  <c r="F891" i="1"/>
  <c r="E891" i="1"/>
  <c r="D891" i="1"/>
  <c r="C891" i="1"/>
  <c r="B891" i="1"/>
  <c r="A891" i="1"/>
  <c r="M889" i="1"/>
  <c r="I889" i="1"/>
  <c r="H889" i="1"/>
  <c r="M888" i="1"/>
  <c r="L888" i="1"/>
  <c r="K888" i="1"/>
  <c r="J888" i="1"/>
  <c r="G888" i="1"/>
  <c r="F888" i="1"/>
  <c r="E888" i="1"/>
  <c r="D888" i="1"/>
  <c r="C888" i="1"/>
  <c r="B888" i="1"/>
  <c r="A888" i="1"/>
  <c r="M887" i="1"/>
  <c r="L887" i="1"/>
  <c r="K887" i="1"/>
  <c r="J887" i="1"/>
  <c r="G887" i="1"/>
  <c r="F887" i="1"/>
  <c r="E887" i="1"/>
  <c r="D887" i="1"/>
  <c r="C887" i="1"/>
  <c r="B887" i="1"/>
  <c r="A887" i="1"/>
  <c r="L886" i="1"/>
  <c r="K886" i="1"/>
  <c r="J886" i="1"/>
  <c r="G886" i="1"/>
  <c r="F886" i="1"/>
  <c r="E886" i="1"/>
  <c r="D886" i="1"/>
  <c r="C886" i="1"/>
  <c r="B886" i="1"/>
  <c r="A886" i="1"/>
  <c r="M885" i="1"/>
  <c r="L884" i="1"/>
  <c r="K884" i="1"/>
  <c r="J884" i="1"/>
  <c r="I884" i="1"/>
  <c r="G884" i="1"/>
  <c r="F884" i="1"/>
  <c r="E884" i="1"/>
  <c r="D884" i="1"/>
  <c r="C884" i="1"/>
  <c r="B884" i="1"/>
  <c r="A884" i="1"/>
  <c r="M882" i="1"/>
  <c r="I882" i="1"/>
  <c r="H882" i="1"/>
  <c r="M881" i="1"/>
  <c r="L881" i="1"/>
  <c r="K881" i="1"/>
  <c r="J881" i="1"/>
  <c r="G881" i="1"/>
  <c r="F881" i="1"/>
  <c r="E881" i="1"/>
  <c r="D881" i="1"/>
  <c r="C881" i="1"/>
  <c r="B881" i="1"/>
  <c r="A881" i="1"/>
  <c r="M880" i="1"/>
  <c r="L880" i="1"/>
  <c r="K880" i="1"/>
  <c r="J880" i="1"/>
  <c r="G880" i="1"/>
  <c r="F880" i="1"/>
  <c r="E880" i="1"/>
  <c r="D880" i="1"/>
  <c r="C880" i="1"/>
  <c r="B880" i="1"/>
  <c r="A880" i="1"/>
  <c r="M879" i="1"/>
  <c r="L879" i="1"/>
  <c r="K879" i="1"/>
  <c r="J879" i="1"/>
  <c r="G879" i="1"/>
  <c r="F879" i="1"/>
  <c r="E879" i="1"/>
  <c r="D879" i="1"/>
  <c r="C879" i="1"/>
  <c r="B879" i="1"/>
  <c r="A879" i="1"/>
  <c r="L878" i="1"/>
  <c r="K878" i="1"/>
  <c r="J878" i="1"/>
  <c r="G878" i="1"/>
  <c r="F878" i="1"/>
  <c r="E878" i="1"/>
  <c r="D878" i="1"/>
  <c r="C878" i="1"/>
  <c r="B878" i="1"/>
  <c r="A878" i="1"/>
  <c r="M877" i="1"/>
  <c r="L876" i="1"/>
  <c r="K876" i="1"/>
  <c r="J876" i="1"/>
  <c r="I876" i="1"/>
  <c r="G876" i="1"/>
  <c r="F876" i="1"/>
  <c r="E876" i="1"/>
  <c r="D876" i="1"/>
  <c r="C876" i="1"/>
  <c r="B876" i="1"/>
  <c r="A876" i="1"/>
  <c r="M874" i="1"/>
  <c r="I874" i="1"/>
  <c r="H874" i="1"/>
  <c r="M873" i="1"/>
  <c r="L873" i="1"/>
  <c r="K873" i="1"/>
  <c r="J873" i="1"/>
  <c r="G873" i="1"/>
  <c r="F873" i="1"/>
  <c r="E873" i="1"/>
  <c r="D873" i="1"/>
  <c r="C873" i="1"/>
  <c r="B873" i="1"/>
  <c r="A873" i="1"/>
  <c r="M872" i="1"/>
  <c r="L872" i="1"/>
  <c r="K872" i="1"/>
  <c r="J872" i="1"/>
  <c r="G872" i="1"/>
  <c r="F872" i="1"/>
  <c r="E872" i="1"/>
  <c r="D872" i="1"/>
  <c r="C872" i="1"/>
  <c r="B872" i="1"/>
  <c r="A872" i="1"/>
  <c r="L871" i="1"/>
  <c r="K871" i="1"/>
  <c r="J871" i="1"/>
  <c r="G871" i="1"/>
  <c r="F871" i="1"/>
  <c r="E871" i="1"/>
  <c r="D871" i="1"/>
  <c r="C871" i="1"/>
  <c r="B871" i="1"/>
  <c r="A871" i="1"/>
  <c r="M869" i="1"/>
  <c r="I869" i="1"/>
  <c r="H869" i="1"/>
  <c r="M868" i="1"/>
  <c r="L868" i="1"/>
  <c r="K868" i="1"/>
  <c r="J868" i="1"/>
  <c r="G868" i="1"/>
  <c r="F868" i="1"/>
  <c r="E868" i="1"/>
  <c r="D868" i="1"/>
  <c r="C868" i="1"/>
  <c r="B868" i="1"/>
  <c r="A868" i="1"/>
  <c r="L867" i="1"/>
  <c r="K867" i="1"/>
  <c r="J867" i="1"/>
  <c r="G867" i="1"/>
  <c r="F867" i="1"/>
  <c r="E867" i="1"/>
  <c r="D867" i="1"/>
  <c r="C867" i="1"/>
  <c r="B867" i="1"/>
  <c r="A867" i="1"/>
  <c r="M865" i="1"/>
  <c r="I865" i="1"/>
  <c r="H865" i="1"/>
  <c r="M864" i="1"/>
  <c r="L864" i="1"/>
  <c r="K864" i="1"/>
  <c r="J864" i="1"/>
  <c r="G864" i="1"/>
  <c r="F864" i="1"/>
  <c r="E864" i="1"/>
  <c r="D864" i="1"/>
  <c r="C864" i="1"/>
  <c r="B864" i="1"/>
  <c r="A864" i="1"/>
  <c r="M863" i="1"/>
  <c r="L863" i="1"/>
  <c r="K863" i="1"/>
  <c r="J863" i="1"/>
  <c r="G863" i="1"/>
  <c r="F863" i="1"/>
  <c r="E863" i="1"/>
  <c r="D863" i="1"/>
  <c r="C863" i="1"/>
  <c r="B863" i="1"/>
  <c r="A863" i="1"/>
  <c r="M862" i="1"/>
  <c r="L862" i="1"/>
  <c r="K862" i="1"/>
  <c r="J862" i="1"/>
  <c r="G862" i="1"/>
  <c r="F862" i="1"/>
  <c r="E862" i="1"/>
  <c r="D862" i="1"/>
  <c r="C862" i="1"/>
  <c r="B862" i="1"/>
  <c r="A862" i="1"/>
  <c r="M861" i="1"/>
  <c r="L861" i="1"/>
  <c r="K861" i="1"/>
  <c r="J861" i="1"/>
  <c r="G861" i="1"/>
  <c r="F861" i="1"/>
  <c r="E861" i="1"/>
  <c r="D861" i="1"/>
  <c r="C861" i="1"/>
  <c r="B861" i="1"/>
  <c r="A861" i="1"/>
  <c r="M860" i="1"/>
  <c r="L860" i="1"/>
  <c r="K860" i="1"/>
  <c r="J860" i="1"/>
  <c r="G860" i="1"/>
  <c r="F860" i="1"/>
  <c r="E860" i="1"/>
  <c r="D860" i="1"/>
  <c r="C860" i="1"/>
  <c r="B860" i="1"/>
  <c r="A860" i="1"/>
  <c r="M859" i="1"/>
  <c r="L859" i="1"/>
  <c r="K859" i="1"/>
  <c r="J859" i="1"/>
  <c r="G859" i="1"/>
  <c r="F859" i="1"/>
  <c r="E859" i="1"/>
  <c r="D859" i="1"/>
  <c r="C859" i="1"/>
  <c r="B859" i="1"/>
  <c r="A859" i="1"/>
  <c r="M858" i="1"/>
  <c r="L858" i="1"/>
  <c r="K858" i="1"/>
  <c r="J858" i="1"/>
  <c r="G858" i="1"/>
  <c r="F858" i="1"/>
  <c r="E858" i="1"/>
  <c r="D858" i="1"/>
  <c r="C858" i="1"/>
  <c r="B858" i="1"/>
  <c r="A858" i="1"/>
  <c r="L857" i="1"/>
  <c r="K857" i="1"/>
  <c r="J857" i="1"/>
  <c r="G857" i="1"/>
  <c r="F857" i="1"/>
  <c r="E857" i="1"/>
  <c r="D857" i="1"/>
  <c r="C857" i="1"/>
  <c r="B857" i="1"/>
  <c r="A857" i="1"/>
  <c r="M855" i="1"/>
  <c r="I855" i="1"/>
  <c r="H855" i="1"/>
  <c r="M854" i="1"/>
  <c r="L854" i="1"/>
  <c r="K854" i="1"/>
  <c r="J854" i="1"/>
  <c r="G854" i="1"/>
  <c r="F854" i="1"/>
  <c r="E854" i="1"/>
  <c r="D854" i="1"/>
  <c r="C854" i="1"/>
  <c r="B854" i="1"/>
  <c r="A854" i="1"/>
  <c r="M853" i="1"/>
  <c r="L853" i="1"/>
  <c r="K853" i="1"/>
  <c r="J853" i="1"/>
  <c r="G853" i="1"/>
  <c r="F853" i="1"/>
  <c r="E853" i="1"/>
  <c r="D853" i="1"/>
  <c r="C853" i="1"/>
  <c r="B853" i="1"/>
  <c r="A853" i="1"/>
  <c r="M852" i="1"/>
  <c r="L852" i="1"/>
  <c r="K852" i="1"/>
  <c r="J852" i="1"/>
  <c r="G852" i="1"/>
  <c r="F852" i="1"/>
  <c r="E852" i="1"/>
  <c r="D852" i="1"/>
  <c r="C852" i="1"/>
  <c r="B852" i="1"/>
  <c r="A852" i="1"/>
  <c r="M851" i="1"/>
  <c r="L851" i="1"/>
  <c r="K851" i="1"/>
  <c r="J851" i="1"/>
  <c r="G851" i="1"/>
  <c r="F851" i="1"/>
  <c r="E851" i="1"/>
  <c r="D851" i="1"/>
  <c r="C851" i="1"/>
  <c r="B851" i="1"/>
  <c r="A851" i="1"/>
  <c r="M850" i="1"/>
  <c r="L850" i="1"/>
  <c r="K850" i="1"/>
  <c r="J850" i="1"/>
  <c r="G850" i="1"/>
  <c r="F850" i="1"/>
  <c r="E850" i="1"/>
  <c r="D850" i="1"/>
  <c r="C850" i="1"/>
  <c r="B850" i="1"/>
  <c r="A850" i="1"/>
  <c r="M849" i="1"/>
  <c r="L849" i="1"/>
  <c r="K849" i="1"/>
  <c r="J849" i="1"/>
  <c r="G849" i="1"/>
  <c r="F849" i="1"/>
  <c r="E849" i="1"/>
  <c r="D849" i="1"/>
  <c r="C849" i="1"/>
  <c r="B849" i="1"/>
  <c r="A849" i="1"/>
  <c r="M848" i="1"/>
  <c r="L848" i="1"/>
  <c r="K848" i="1"/>
  <c r="J848" i="1"/>
  <c r="G848" i="1"/>
  <c r="F848" i="1"/>
  <c r="E848" i="1"/>
  <c r="D848" i="1"/>
  <c r="C848" i="1"/>
  <c r="B848" i="1"/>
  <c r="A848" i="1"/>
  <c r="M847" i="1"/>
  <c r="L847" i="1"/>
  <c r="K847" i="1"/>
  <c r="J847" i="1"/>
  <c r="G847" i="1"/>
  <c r="F847" i="1"/>
  <c r="E847" i="1"/>
  <c r="D847" i="1"/>
  <c r="C847" i="1"/>
  <c r="B847" i="1"/>
  <c r="A847" i="1"/>
  <c r="M846" i="1"/>
  <c r="L846" i="1"/>
  <c r="K846" i="1"/>
  <c r="J846" i="1"/>
  <c r="G846" i="1"/>
  <c r="F846" i="1"/>
  <c r="E846" i="1"/>
  <c r="D846" i="1"/>
  <c r="C846" i="1"/>
  <c r="B846" i="1"/>
  <c r="A846" i="1"/>
  <c r="M845" i="1"/>
  <c r="L845" i="1"/>
  <c r="K845" i="1"/>
  <c r="J845" i="1"/>
  <c r="G845" i="1"/>
  <c r="F845" i="1"/>
  <c r="E845" i="1"/>
  <c r="D845" i="1"/>
  <c r="C845" i="1"/>
  <c r="B845" i="1"/>
  <c r="A845" i="1"/>
  <c r="M844" i="1"/>
  <c r="L844" i="1"/>
  <c r="K844" i="1"/>
  <c r="J844" i="1"/>
  <c r="G844" i="1"/>
  <c r="F844" i="1"/>
  <c r="E844" i="1"/>
  <c r="D844" i="1"/>
  <c r="C844" i="1"/>
  <c r="B844" i="1"/>
  <c r="A844" i="1"/>
  <c r="M843" i="1"/>
  <c r="L843" i="1"/>
  <c r="K843" i="1"/>
  <c r="J843" i="1"/>
  <c r="G843" i="1"/>
  <c r="F843" i="1"/>
  <c r="E843" i="1"/>
  <c r="D843" i="1"/>
  <c r="C843" i="1"/>
  <c r="B843" i="1"/>
  <c r="A843" i="1"/>
  <c r="M842" i="1"/>
  <c r="L842" i="1"/>
  <c r="K842" i="1"/>
  <c r="J842" i="1"/>
  <c r="G842" i="1"/>
  <c r="F842" i="1"/>
  <c r="E842" i="1"/>
  <c r="D842" i="1"/>
  <c r="C842" i="1"/>
  <c r="B842" i="1"/>
  <c r="A842" i="1"/>
  <c r="M841" i="1"/>
  <c r="L841" i="1"/>
  <c r="K841" i="1"/>
  <c r="J841" i="1"/>
  <c r="G841" i="1"/>
  <c r="F841" i="1"/>
  <c r="E841" i="1"/>
  <c r="D841" i="1"/>
  <c r="C841" i="1"/>
  <c r="B841" i="1"/>
  <c r="A841" i="1"/>
  <c r="M840" i="1"/>
  <c r="L840" i="1"/>
  <c r="K840" i="1"/>
  <c r="J840" i="1"/>
  <c r="G840" i="1"/>
  <c r="F840" i="1"/>
  <c r="E840" i="1"/>
  <c r="D840" i="1"/>
  <c r="C840" i="1"/>
  <c r="B840" i="1"/>
  <c r="A840" i="1"/>
  <c r="M839" i="1"/>
  <c r="L839" i="1"/>
  <c r="K839" i="1"/>
  <c r="J839" i="1"/>
  <c r="G839" i="1"/>
  <c r="F839" i="1"/>
  <c r="E839" i="1"/>
  <c r="D839" i="1"/>
  <c r="C839" i="1"/>
  <c r="B839" i="1"/>
  <c r="A839" i="1"/>
  <c r="M838" i="1"/>
  <c r="L838" i="1"/>
  <c r="K838" i="1"/>
  <c r="J838" i="1"/>
  <c r="G838" i="1"/>
  <c r="F838" i="1"/>
  <c r="E838" i="1"/>
  <c r="D838" i="1"/>
  <c r="C838" i="1"/>
  <c r="B838" i="1"/>
  <c r="A838" i="1"/>
  <c r="M837" i="1"/>
  <c r="L837" i="1"/>
  <c r="K837" i="1"/>
  <c r="J837" i="1"/>
  <c r="G837" i="1"/>
  <c r="F837" i="1"/>
  <c r="E837" i="1"/>
  <c r="D837" i="1"/>
  <c r="C837" i="1"/>
  <c r="B837" i="1"/>
  <c r="A837" i="1"/>
  <c r="M836" i="1"/>
  <c r="L836" i="1"/>
  <c r="K836" i="1"/>
  <c r="J836" i="1"/>
  <c r="G836" i="1"/>
  <c r="F836" i="1"/>
  <c r="E836" i="1"/>
  <c r="D836" i="1"/>
  <c r="C836" i="1"/>
  <c r="B836" i="1"/>
  <c r="A836" i="1"/>
  <c r="M835" i="1"/>
  <c r="L835" i="1"/>
  <c r="K835" i="1"/>
  <c r="J835" i="1"/>
  <c r="G835" i="1"/>
  <c r="F835" i="1"/>
  <c r="E835" i="1"/>
  <c r="D835" i="1"/>
  <c r="C835" i="1"/>
  <c r="B835" i="1"/>
  <c r="A835" i="1"/>
  <c r="M834" i="1"/>
  <c r="L834" i="1"/>
  <c r="K834" i="1"/>
  <c r="J834" i="1"/>
  <c r="G834" i="1"/>
  <c r="F834" i="1"/>
  <c r="E834" i="1"/>
  <c r="D834" i="1"/>
  <c r="C834" i="1"/>
  <c r="B834" i="1"/>
  <c r="A834" i="1"/>
  <c r="M833" i="1"/>
  <c r="L833" i="1"/>
  <c r="K833" i="1"/>
  <c r="J833" i="1"/>
  <c r="G833" i="1"/>
  <c r="F833" i="1"/>
  <c r="E833" i="1"/>
  <c r="D833" i="1"/>
  <c r="C833" i="1"/>
  <c r="B833" i="1"/>
  <c r="A833" i="1"/>
  <c r="M832" i="1"/>
  <c r="L832" i="1"/>
  <c r="K832" i="1"/>
  <c r="J832" i="1"/>
  <c r="G832" i="1"/>
  <c r="F832" i="1"/>
  <c r="E832" i="1"/>
  <c r="D832" i="1"/>
  <c r="C832" i="1"/>
  <c r="B832" i="1"/>
  <c r="A832" i="1"/>
  <c r="M831" i="1"/>
  <c r="L831" i="1"/>
  <c r="K831" i="1"/>
  <c r="J831" i="1"/>
  <c r="G831" i="1"/>
  <c r="F831" i="1"/>
  <c r="E831" i="1"/>
  <c r="D831" i="1"/>
  <c r="C831" i="1"/>
  <c r="B831" i="1"/>
  <c r="A831" i="1"/>
  <c r="M830" i="1"/>
  <c r="L830" i="1"/>
  <c r="K830" i="1"/>
  <c r="J830" i="1"/>
  <c r="G830" i="1"/>
  <c r="F830" i="1"/>
  <c r="E830" i="1"/>
  <c r="D830" i="1"/>
  <c r="C830" i="1"/>
  <c r="B830" i="1"/>
  <c r="A830" i="1"/>
  <c r="M829" i="1"/>
  <c r="L829" i="1"/>
  <c r="K829" i="1"/>
  <c r="J829" i="1"/>
  <c r="G829" i="1"/>
  <c r="F829" i="1"/>
  <c r="E829" i="1"/>
  <c r="D829" i="1"/>
  <c r="C829" i="1"/>
  <c r="B829" i="1"/>
  <c r="A829" i="1"/>
  <c r="M828" i="1"/>
  <c r="L828" i="1"/>
  <c r="K828" i="1"/>
  <c r="J828" i="1"/>
  <c r="G828" i="1"/>
  <c r="F828" i="1"/>
  <c r="E828" i="1"/>
  <c r="D828" i="1"/>
  <c r="C828" i="1"/>
  <c r="B828" i="1"/>
  <c r="A828" i="1"/>
  <c r="M827" i="1"/>
  <c r="L827" i="1"/>
  <c r="K827" i="1"/>
  <c r="J827" i="1"/>
  <c r="G827" i="1"/>
  <c r="F827" i="1"/>
  <c r="E827" i="1"/>
  <c r="D827" i="1"/>
  <c r="C827" i="1"/>
  <c r="B827" i="1"/>
  <c r="A827" i="1"/>
  <c r="M826" i="1"/>
  <c r="L826" i="1"/>
  <c r="K826" i="1"/>
  <c r="J826" i="1"/>
  <c r="G826" i="1"/>
  <c r="F826" i="1"/>
  <c r="E826" i="1"/>
  <c r="D826" i="1"/>
  <c r="C826" i="1"/>
  <c r="B826" i="1"/>
  <c r="A826" i="1"/>
  <c r="M825" i="1"/>
  <c r="L825" i="1"/>
  <c r="K825" i="1"/>
  <c r="J825" i="1"/>
  <c r="G825" i="1"/>
  <c r="F825" i="1"/>
  <c r="E825" i="1"/>
  <c r="D825" i="1"/>
  <c r="C825" i="1"/>
  <c r="B825" i="1"/>
  <c r="A825" i="1"/>
  <c r="M824" i="1"/>
  <c r="L824" i="1"/>
  <c r="K824" i="1"/>
  <c r="J824" i="1"/>
  <c r="G824" i="1"/>
  <c r="F824" i="1"/>
  <c r="E824" i="1"/>
  <c r="D824" i="1"/>
  <c r="C824" i="1"/>
  <c r="B824" i="1"/>
  <c r="A824" i="1"/>
  <c r="M823" i="1"/>
  <c r="L823" i="1"/>
  <c r="K823" i="1"/>
  <c r="J823" i="1"/>
  <c r="G823" i="1"/>
  <c r="F823" i="1"/>
  <c r="E823" i="1"/>
  <c r="D823" i="1"/>
  <c r="C823" i="1"/>
  <c r="B823" i="1"/>
  <c r="A823" i="1"/>
  <c r="M822" i="1"/>
  <c r="L822" i="1"/>
  <c r="K822" i="1"/>
  <c r="J822" i="1"/>
  <c r="G822" i="1"/>
  <c r="F822" i="1"/>
  <c r="E822" i="1"/>
  <c r="D822" i="1"/>
  <c r="C822" i="1"/>
  <c r="B822" i="1"/>
  <c r="A822" i="1"/>
  <c r="M821" i="1"/>
  <c r="L821" i="1"/>
  <c r="K821" i="1"/>
  <c r="J821" i="1"/>
  <c r="G821" i="1"/>
  <c r="F821" i="1"/>
  <c r="E821" i="1"/>
  <c r="D821" i="1"/>
  <c r="C821" i="1"/>
  <c r="B821" i="1"/>
  <c r="A821" i="1"/>
  <c r="M820" i="1"/>
  <c r="L820" i="1"/>
  <c r="K820" i="1"/>
  <c r="J820" i="1"/>
  <c r="G820" i="1"/>
  <c r="F820" i="1"/>
  <c r="E820" i="1"/>
  <c r="D820" i="1"/>
  <c r="C820" i="1"/>
  <c r="B820" i="1"/>
  <c r="A820" i="1"/>
  <c r="M819" i="1"/>
  <c r="L819" i="1"/>
  <c r="K819" i="1"/>
  <c r="J819" i="1"/>
  <c r="G819" i="1"/>
  <c r="F819" i="1"/>
  <c r="E819" i="1"/>
  <c r="D819" i="1"/>
  <c r="C819" i="1"/>
  <c r="B819" i="1"/>
  <c r="A819" i="1"/>
  <c r="M818" i="1"/>
  <c r="L818" i="1"/>
  <c r="K818" i="1"/>
  <c r="J818" i="1"/>
  <c r="G818" i="1"/>
  <c r="F818" i="1"/>
  <c r="E818" i="1"/>
  <c r="D818" i="1"/>
  <c r="C818" i="1"/>
  <c r="B818" i="1"/>
  <c r="A818" i="1"/>
  <c r="M817" i="1"/>
  <c r="L817" i="1"/>
  <c r="K817" i="1"/>
  <c r="J817" i="1"/>
  <c r="G817" i="1"/>
  <c r="F817" i="1"/>
  <c r="E817" i="1"/>
  <c r="D817" i="1"/>
  <c r="C817" i="1"/>
  <c r="B817" i="1"/>
  <c r="A817" i="1"/>
  <c r="M816" i="1"/>
  <c r="L816" i="1"/>
  <c r="K816" i="1"/>
  <c r="J816" i="1"/>
  <c r="G816" i="1"/>
  <c r="F816" i="1"/>
  <c r="E816" i="1"/>
  <c r="D816" i="1"/>
  <c r="C816" i="1"/>
  <c r="B816" i="1"/>
  <c r="A816" i="1"/>
  <c r="M815" i="1"/>
  <c r="L815" i="1"/>
  <c r="K815" i="1"/>
  <c r="J815" i="1"/>
  <c r="G815" i="1"/>
  <c r="F815" i="1"/>
  <c r="E815" i="1"/>
  <c r="D815" i="1"/>
  <c r="C815" i="1"/>
  <c r="B815" i="1"/>
  <c r="A815" i="1"/>
  <c r="L814" i="1"/>
  <c r="K814" i="1"/>
  <c r="J814" i="1"/>
  <c r="G814" i="1"/>
  <c r="F814" i="1"/>
  <c r="E814" i="1"/>
  <c r="D814" i="1"/>
  <c r="C814" i="1"/>
  <c r="B814" i="1"/>
  <c r="A814" i="1"/>
  <c r="I812" i="1"/>
  <c r="H812" i="1"/>
  <c r="L811" i="1"/>
  <c r="K811" i="1"/>
  <c r="J811" i="1"/>
  <c r="G811" i="1"/>
  <c r="F811" i="1"/>
  <c r="E811" i="1"/>
  <c r="D811" i="1"/>
  <c r="C811" i="1"/>
  <c r="B811" i="1"/>
  <c r="A811" i="1"/>
  <c r="L810" i="1"/>
  <c r="K810" i="1"/>
  <c r="J810" i="1"/>
  <c r="G810" i="1"/>
  <c r="F810" i="1"/>
  <c r="E810" i="1"/>
  <c r="D810" i="1"/>
  <c r="C810" i="1"/>
  <c r="B810" i="1"/>
  <c r="A810" i="1"/>
  <c r="L809" i="1"/>
  <c r="K809" i="1"/>
  <c r="J809" i="1"/>
  <c r="G809" i="1"/>
  <c r="F809" i="1"/>
  <c r="E809" i="1"/>
  <c r="D809" i="1"/>
  <c r="C809" i="1"/>
  <c r="B809" i="1"/>
  <c r="A809" i="1"/>
  <c r="L808" i="1"/>
  <c r="K808" i="1"/>
  <c r="J808" i="1"/>
  <c r="G808" i="1"/>
  <c r="F808" i="1"/>
  <c r="E808" i="1"/>
  <c r="D808" i="1"/>
  <c r="C808" i="1"/>
  <c r="B808" i="1"/>
  <c r="A808" i="1"/>
  <c r="L807" i="1"/>
  <c r="K807" i="1"/>
  <c r="J807" i="1"/>
  <c r="G807" i="1"/>
  <c r="F807" i="1"/>
  <c r="E807" i="1"/>
  <c r="D807" i="1"/>
  <c r="C807" i="1"/>
  <c r="B807" i="1"/>
  <c r="A807" i="1"/>
  <c r="L806" i="1"/>
  <c r="K806" i="1"/>
  <c r="J806" i="1"/>
  <c r="G806" i="1"/>
  <c r="F806" i="1"/>
  <c r="E806" i="1"/>
  <c r="D806" i="1"/>
  <c r="C806" i="1"/>
  <c r="B806" i="1"/>
  <c r="A806" i="1"/>
  <c r="L805" i="1"/>
  <c r="K805" i="1"/>
  <c r="J805" i="1"/>
  <c r="G805" i="1"/>
  <c r="F805" i="1"/>
  <c r="E805" i="1"/>
  <c r="D805" i="1"/>
  <c r="C805" i="1"/>
  <c r="B805" i="1"/>
  <c r="A805" i="1"/>
  <c r="L804" i="1"/>
  <c r="K804" i="1"/>
  <c r="J804" i="1"/>
  <c r="G804" i="1"/>
  <c r="F804" i="1"/>
  <c r="E804" i="1"/>
  <c r="D804" i="1"/>
  <c r="C804" i="1"/>
  <c r="B804" i="1"/>
  <c r="A804" i="1"/>
  <c r="L803" i="1"/>
  <c r="K803" i="1"/>
  <c r="J803" i="1"/>
  <c r="G803" i="1"/>
  <c r="F803" i="1"/>
  <c r="E803" i="1"/>
  <c r="D803" i="1"/>
  <c r="C803" i="1"/>
  <c r="B803" i="1"/>
  <c r="A803" i="1"/>
  <c r="L802" i="1"/>
  <c r="K802" i="1"/>
  <c r="J802" i="1"/>
  <c r="G802" i="1"/>
  <c r="F802" i="1"/>
  <c r="E802" i="1"/>
  <c r="D802" i="1"/>
  <c r="C802" i="1"/>
  <c r="B802" i="1"/>
  <c r="A802" i="1"/>
  <c r="L801" i="1"/>
  <c r="K801" i="1"/>
  <c r="J801" i="1"/>
  <c r="G801" i="1"/>
  <c r="F801" i="1"/>
  <c r="E801" i="1"/>
  <c r="D801" i="1"/>
  <c r="C801" i="1"/>
  <c r="B801" i="1"/>
  <c r="A801" i="1"/>
  <c r="L800" i="1"/>
  <c r="K800" i="1"/>
  <c r="J800" i="1"/>
  <c r="G800" i="1"/>
  <c r="F800" i="1"/>
  <c r="E800" i="1"/>
  <c r="D800" i="1"/>
  <c r="C800" i="1"/>
  <c r="B800" i="1"/>
  <c r="A800" i="1"/>
  <c r="L799" i="1"/>
  <c r="K799" i="1"/>
  <c r="J799" i="1"/>
  <c r="G799" i="1"/>
  <c r="F799" i="1"/>
  <c r="E799" i="1"/>
  <c r="D799" i="1"/>
  <c r="C799" i="1"/>
  <c r="B799" i="1"/>
  <c r="A799" i="1"/>
  <c r="L798" i="1"/>
  <c r="K798" i="1"/>
  <c r="J798" i="1"/>
  <c r="G798" i="1"/>
  <c r="F798" i="1"/>
  <c r="E798" i="1"/>
  <c r="D798" i="1"/>
  <c r="C798" i="1"/>
  <c r="B798" i="1"/>
  <c r="A798" i="1"/>
  <c r="L797" i="1"/>
  <c r="K797" i="1"/>
  <c r="J797" i="1"/>
  <c r="G797" i="1"/>
  <c r="F797" i="1"/>
  <c r="E797" i="1"/>
  <c r="D797" i="1"/>
  <c r="C797" i="1"/>
  <c r="B797" i="1"/>
  <c r="A797" i="1"/>
  <c r="L796" i="1"/>
  <c r="K796" i="1"/>
  <c r="J796" i="1"/>
  <c r="G796" i="1"/>
  <c r="F796" i="1"/>
  <c r="E796" i="1"/>
  <c r="D796" i="1"/>
  <c r="C796" i="1"/>
  <c r="B796" i="1"/>
  <c r="A796" i="1"/>
  <c r="L795" i="1"/>
  <c r="K795" i="1"/>
  <c r="J795" i="1"/>
  <c r="G795" i="1"/>
  <c r="F795" i="1"/>
  <c r="E795" i="1"/>
  <c r="D795" i="1"/>
  <c r="C795" i="1"/>
  <c r="B795" i="1"/>
  <c r="A795" i="1"/>
  <c r="L794" i="1"/>
  <c r="K794" i="1"/>
  <c r="J794" i="1"/>
  <c r="G794" i="1"/>
  <c r="F794" i="1"/>
  <c r="E794" i="1"/>
  <c r="D794" i="1"/>
  <c r="C794" i="1"/>
  <c r="B794" i="1"/>
  <c r="A794" i="1"/>
  <c r="L793" i="1"/>
  <c r="K793" i="1"/>
  <c r="J793" i="1"/>
  <c r="G793" i="1"/>
  <c r="F793" i="1"/>
  <c r="E793" i="1"/>
  <c r="D793" i="1"/>
  <c r="C793" i="1"/>
  <c r="B793" i="1"/>
  <c r="A793" i="1"/>
  <c r="M792" i="1"/>
  <c r="L792" i="1"/>
  <c r="K792" i="1"/>
  <c r="J792" i="1"/>
  <c r="G792" i="1"/>
  <c r="F792" i="1"/>
  <c r="E792" i="1"/>
  <c r="D792" i="1"/>
  <c r="C792" i="1"/>
  <c r="B792" i="1"/>
  <c r="A792" i="1"/>
  <c r="M791" i="1"/>
  <c r="L791" i="1"/>
  <c r="K791" i="1"/>
  <c r="J791" i="1"/>
  <c r="G791" i="1"/>
  <c r="F791" i="1"/>
  <c r="E791" i="1"/>
  <c r="D791" i="1"/>
  <c r="C791" i="1"/>
  <c r="B791" i="1"/>
  <c r="A791" i="1"/>
  <c r="M790" i="1"/>
  <c r="L790" i="1"/>
  <c r="K790" i="1"/>
  <c r="J790" i="1"/>
  <c r="G790" i="1"/>
  <c r="F790" i="1"/>
  <c r="E790" i="1"/>
  <c r="D790" i="1"/>
  <c r="C790" i="1"/>
  <c r="B790" i="1"/>
  <c r="A790" i="1"/>
  <c r="M789" i="1"/>
  <c r="L789" i="1"/>
  <c r="K789" i="1"/>
  <c r="J789" i="1"/>
  <c r="G789" i="1"/>
  <c r="F789" i="1"/>
  <c r="E789" i="1"/>
  <c r="D789" i="1"/>
  <c r="C789" i="1"/>
  <c r="B789" i="1"/>
  <c r="A789" i="1"/>
  <c r="M788" i="1"/>
  <c r="L788" i="1"/>
  <c r="K788" i="1"/>
  <c r="J788" i="1"/>
  <c r="G788" i="1"/>
  <c r="F788" i="1"/>
  <c r="E788" i="1"/>
  <c r="D788" i="1"/>
  <c r="C788" i="1"/>
  <c r="B788" i="1"/>
  <c r="A788" i="1"/>
  <c r="M787" i="1"/>
  <c r="L787" i="1"/>
  <c r="K787" i="1"/>
  <c r="J787" i="1"/>
  <c r="G787" i="1"/>
  <c r="F787" i="1"/>
  <c r="E787" i="1"/>
  <c r="D787" i="1"/>
  <c r="C787" i="1"/>
  <c r="B787" i="1"/>
  <c r="A787" i="1"/>
  <c r="M786" i="1"/>
  <c r="L786" i="1"/>
  <c r="K786" i="1"/>
  <c r="J786" i="1"/>
  <c r="G786" i="1"/>
  <c r="F786" i="1"/>
  <c r="E786" i="1"/>
  <c r="D786" i="1"/>
  <c r="C786" i="1"/>
  <c r="B786" i="1"/>
  <c r="A786" i="1"/>
  <c r="M785" i="1"/>
  <c r="L785" i="1"/>
  <c r="K785" i="1"/>
  <c r="J785" i="1"/>
  <c r="G785" i="1"/>
  <c r="F785" i="1"/>
  <c r="E785" i="1"/>
  <c r="D785" i="1"/>
  <c r="C785" i="1"/>
  <c r="B785" i="1"/>
  <c r="A785" i="1"/>
  <c r="M784" i="1"/>
  <c r="L784" i="1"/>
  <c r="K784" i="1"/>
  <c r="J784" i="1"/>
  <c r="G784" i="1"/>
  <c r="F784" i="1"/>
  <c r="E784" i="1"/>
  <c r="D784" i="1"/>
  <c r="C784" i="1"/>
  <c r="B784" i="1"/>
  <c r="A784" i="1"/>
  <c r="M783" i="1"/>
  <c r="L783" i="1"/>
  <c r="K783" i="1"/>
  <c r="J783" i="1"/>
  <c r="G783" i="1"/>
  <c r="F783" i="1"/>
  <c r="E783" i="1"/>
  <c r="D783" i="1"/>
  <c r="C783" i="1"/>
  <c r="B783" i="1"/>
  <c r="A783" i="1"/>
  <c r="M782" i="1"/>
  <c r="L782" i="1"/>
  <c r="K782" i="1"/>
  <c r="J782" i="1"/>
  <c r="G782" i="1"/>
  <c r="F782" i="1"/>
  <c r="E782" i="1"/>
  <c r="D782" i="1"/>
  <c r="C782" i="1"/>
  <c r="B782" i="1"/>
  <c r="A782" i="1"/>
  <c r="M781" i="1"/>
  <c r="L781" i="1"/>
  <c r="K781" i="1"/>
  <c r="J781" i="1"/>
  <c r="G781" i="1"/>
  <c r="F781" i="1"/>
  <c r="E781" i="1"/>
  <c r="D781" i="1"/>
  <c r="C781" i="1"/>
  <c r="B781" i="1"/>
  <c r="A781" i="1"/>
  <c r="M780" i="1"/>
  <c r="L780" i="1"/>
  <c r="K780" i="1"/>
  <c r="J780" i="1"/>
  <c r="G780" i="1"/>
  <c r="F780" i="1"/>
  <c r="E780" i="1"/>
  <c r="D780" i="1"/>
  <c r="C780" i="1"/>
  <c r="B780" i="1"/>
  <c r="A780" i="1"/>
  <c r="M779" i="1"/>
  <c r="L779" i="1"/>
  <c r="K779" i="1"/>
  <c r="J779" i="1"/>
  <c r="G779" i="1"/>
  <c r="F779" i="1"/>
  <c r="E779" i="1"/>
  <c r="D779" i="1"/>
  <c r="C779" i="1"/>
  <c r="B779" i="1"/>
  <c r="A779" i="1"/>
  <c r="M778" i="1"/>
  <c r="L778" i="1"/>
  <c r="K778" i="1"/>
  <c r="J778" i="1"/>
  <c r="G778" i="1"/>
  <c r="F778" i="1"/>
  <c r="E778" i="1"/>
  <c r="D778" i="1"/>
  <c r="C778" i="1"/>
  <c r="B778" i="1"/>
  <c r="A778" i="1"/>
  <c r="M777" i="1"/>
  <c r="L777" i="1"/>
  <c r="K777" i="1"/>
  <c r="J777" i="1"/>
  <c r="G777" i="1"/>
  <c r="F777" i="1"/>
  <c r="E777" i="1"/>
  <c r="D777" i="1"/>
  <c r="C777" i="1"/>
  <c r="B777" i="1"/>
  <c r="A777" i="1"/>
  <c r="M776" i="1"/>
  <c r="L776" i="1"/>
  <c r="K776" i="1"/>
  <c r="J776" i="1"/>
  <c r="G776" i="1"/>
  <c r="F776" i="1"/>
  <c r="E776" i="1"/>
  <c r="D776" i="1"/>
  <c r="C776" i="1"/>
  <c r="B776" i="1"/>
  <c r="A776" i="1"/>
  <c r="M775" i="1"/>
  <c r="L775" i="1"/>
  <c r="K775" i="1"/>
  <c r="J775" i="1"/>
  <c r="G775" i="1"/>
  <c r="F775" i="1"/>
  <c r="E775" i="1"/>
  <c r="D775" i="1"/>
  <c r="C775" i="1"/>
  <c r="B775" i="1"/>
  <c r="A775" i="1"/>
  <c r="M774" i="1"/>
  <c r="L774" i="1"/>
  <c r="K774" i="1"/>
  <c r="J774" i="1"/>
  <c r="G774" i="1"/>
  <c r="F774" i="1"/>
  <c r="E774" i="1"/>
  <c r="D774" i="1"/>
  <c r="C774" i="1"/>
  <c r="B774" i="1"/>
  <c r="A774" i="1"/>
  <c r="M773" i="1"/>
  <c r="L773" i="1"/>
  <c r="K773" i="1"/>
  <c r="J773" i="1"/>
  <c r="G773" i="1"/>
  <c r="F773" i="1"/>
  <c r="E773" i="1"/>
  <c r="D773" i="1"/>
  <c r="C773" i="1"/>
  <c r="B773" i="1"/>
  <c r="A773" i="1"/>
  <c r="M772" i="1"/>
  <c r="L772" i="1"/>
  <c r="K772" i="1"/>
  <c r="J772" i="1"/>
  <c r="G772" i="1"/>
  <c r="F772" i="1"/>
  <c r="E772" i="1"/>
  <c r="D772" i="1"/>
  <c r="C772" i="1"/>
  <c r="B772" i="1"/>
  <c r="A772" i="1"/>
  <c r="M771" i="1"/>
  <c r="L771" i="1"/>
  <c r="K771" i="1"/>
  <c r="J771" i="1"/>
  <c r="G771" i="1"/>
  <c r="F771" i="1"/>
  <c r="E771" i="1"/>
  <c r="D771" i="1"/>
  <c r="C771" i="1"/>
  <c r="B771" i="1"/>
  <c r="A771" i="1"/>
  <c r="M770" i="1"/>
  <c r="L770" i="1"/>
  <c r="K770" i="1"/>
  <c r="J770" i="1"/>
  <c r="G770" i="1"/>
  <c r="F770" i="1"/>
  <c r="E770" i="1"/>
  <c r="D770" i="1"/>
  <c r="C770" i="1"/>
  <c r="B770" i="1"/>
  <c r="A770" i="1"/>
  <c r="M769" i="1"/>
  <c r="L769" i="1"/>
  <c r="K769" i="1"/>
  <c r="J769" i="1"/>
  <c r="G769" i="1"/>
  <c r="F769" i="1"/>
  <c r="E769" i="1"/>
  <c r="D769" i="1"/>
  <c r="C769" i="1"/>
  <c r="B769" i="1"/>
  <c r="A769" i="1"/>
  <c r="M768" i="1"/>
  <c r="L768" i="1"/>
  <c r="K768" i="1"/>
  <c r="J768" i="1"/>
  <c r="G768" i="1"/>
  <c r="F768" i="1"/>
  <c r="E768" i="1"/>
  <c r="D768" i="1"/>
  <c r="C768" i="1"/>
  <c r="B768" i="1"/>
  <c r="A768" i="1"/>
  <c r="M767" i="1"/>
  <c r="L767" i="1"/>
  <c r="K767" i="1"/>
  <c r="J767" i="1"/>
  <c r="G767" i="1"/>
  <c r="F767" i="1"/>
  <c r="E767" i="1"/>
  <c r="D767" i="1"/>
  <c r="C767" i="1"/>
  <c r="B767" i="1"/>
  <c r="A767" i="1"/>
  <c r="M766" i="1"/>
  <c r="L766" i="1"/>
  <c r="K766" i="1"/>
  <c r="J766" i="1"/>
  <c r="G766" i="1"/>
  <c r="F766" i="1"/>
  <c r="E766" i="1"/>
  <c r="D766" i="1"/>
  <c r="C766" i="1"/>
  <c r="B766" i="1"/>
  <c r="A766" i="1"/>
  <c r="M765" i="1"/>
  <c r="L765" i="1"/>
  <c r="K765" i="1"/>
  <c r="J765" i="1"/>
  <c r="G765" i="1"/>
  <c r="F765" i="1"/>
  <c r="E765" i="1"/>
  <c r="D765" i="1"/>
  <c r="C765" i="1"/>
  <c r="B765" i="1"/>
  <c r="A765" i="1"/>
  <c r="M764" i="1"/>
  <c r="L764" i="1"/>
  <c r="K764" i="1"/>
  <c r="J764" i="1"/>
  <c r="G764" i="1"/>
  <c r="F764" i="1"/>
  <c r="E764" i="1"/>
  <c r="D764" i="1"/>
  <c r="C764" i="1"/>
  <c r="B764" i="1"/>
  <c r="A764" i="1"/>
  <c r="M763" i="1"/>
  <c r="L763" i="1"/>
  <c r="K763" i="1"/>
  <c r="J763" i="1"/>
  <c r="G763" i="1"/>
  <c r="F763" i="1"/>
  <c r="E763" i="1"/>
  <c r="D763" i="1"/>
  <c r="C763" i="1"/>
  <c r="B763" i="1"/>
  <c r="A763" i="1"/>
  <c r="M762" i="1"/>
  <c r="L762" i="1"/>
  <c r="K762" i="1"/>
  <c r="J762" i="1"/>
  <c r="G762" i="1"/>
  <c r="F762" i="1"/>
  <c r="E762" i="1"/>
  <c r="D762" i="1"/>
  <c r="C762" i="1"/>
  <c r="B762" i="1"/>
  <c r="A762" i="1"/>
  <c r="M761" i="1"/>
  <c r="L761" i="1"/>
  <c r="K761" i="1"/>
  <c r="J761" i="1"/>
  <c r="G761" i="1"/>
  <c r="F761" i="1"/>
  <c r="E761" i="1"/>
  <c r="D761" i="1"/>
  <c r="C761" i="1"/>
  <c r="B761" i="1"/>
  <c r="A761" i="1"/>
  <c r="M760" i="1"/>
  <c r="L760" i="1"/>
  <c r="K760" i="1"/>
  <c r="J760" i="1"/>
  <c r="G760" i="1"/>
  <c r="F760" i="1"/>
  <c r="E760" i="1"/>
  <c r="D760" i="1"/>
  <c r="C760" i="1"/>
  <c r="B760" i="1"/>
  <c r="A760" i="1"/>
  <c r="M759" i="1"/>
  <c r="L759" i="1"/>
  <c r="K759" i="1"/>
  <c r="J759" i="1"/>
  <c r="G759" i="1"/>
  <c r="F759" i="1"/>
  <c r="E759" i="1"/>
  <c r="D759" i="1"/>
  <c r="C759" i="1"/>
  <c r="B759" i="1"/>
  <c r="A759" i="1"/>
  <c r="M758" i="1"/>
  <c r="L758" i="1"/>
  <c r="K758" i="1"/>
  <c r="J758" i="1"/>
  <c r="G758" i="1"/>
  <c r="F758" i="1"/>
  <c r="E758" i="1"/>
  <c r="D758" i="1"/>
  <c r="C758" i="1"/>
  <c r="B758" i="1"/>
  <c r="A758" i="1"/>
  <c r="M757" i="1"/>
  <c r="L757" i="1"/>
  <c r="K757" i="1"/>
  <c r="J757" i="1"/>
  <c r="G757" i="1"/>
  <c r="F757" i="1"/>
  <c r="E757" i="1"/>
  <c r="D757" i="1"/>
  <c r="C757" i="1"/>
  <c r="B757" i="1"/>
  <c r="A757" i="1"/>
  <c r="M756" i="1"/>
  <c r="L756" i="1"/>
  <c r="K756" i="1"/>
  <c r="J756" i="1"/>
  <c r="G756" i="1"/>
  <c r="F756" i="1"/>
  <c r="E756" i="1"/>
  <c r="D756" i="1"/>
  <c r="C756" i="1"/>
  <c r="B756" i="1"/>
  <c r="A756" i="1"/>
  <c r="M755" i="1"/>
  <c r="L755" i="1"/>
  <c r="K755" i="1"/>
  <c r="J755" i="1"/>
  <c r="G755" i="1"/>
  <c r="F755" i="1"/>
  <c r="E755" i="1"/>
  <c r="D755" i="1"/>
  <c r="C755" i="1"/>
  <c r="B755" i="1"/>
  <c r="A755" i="1"/>
  <c r="M754" i="1"/>
  <c r="L754" i="1"/>
  <c r="K754" i="1"/>
  <c r="J754" i="1"/>
  <c r="G754" i="1"/>
  <c r="F754" i="1"/>
  <c r="E754" i="1"/>
  <c r="D754" i="1"/>
  <c r="C754" i="1"/>
  <c r="B754" i="1"/>
  <c r="A754" i="1"/>
  <c r="M753" i="1"/>
  <c r="L753" i="1"/>
  <c r="K753" i="1"/>
  <c r="J753" i="1"/>
  <c r="G753" i="1"/>
  <c r="F753" i="1"/>
  <c r="E753" i="1"/>
  <c r="D753" i="1"/>
  <c r="C753" i="1"/>
  <c r="B753" i="1"/>
  <c r="A753" i="1"/>
  <c r="M752" i="1"/>
  <c r="L752" i="1"/>
  <c r="K752" i="1"/>
  <c r="J752" i="1"/>
  <c r="G752" i="1"/>
  <c r="F752" i="1"/>
  <c r="E752" i="1"/>
  <c r="D752" i="1"/>
  <c r="C752" i="1"/>
  <c r="B752" i="1"/>
  <c r="A752" i="1"/>
  <c r="M751" i="1"/>
  <c r="L751" i="1"/>
  <c r="K751" i="1"/>
  <c r="J751" i="1"/>
  <c r="G751" i="1"/>
  <c r="F751" i="1"/>
  <c r="E751" i="1"/>
  <c r="D751" i="1"/>
  <c r="C751" i="1"/>
  <c r="B751" i="1"/>
  <c r="A751" i="1"/>
  <c r="M750" i="1"/>
  <c r="L750" i="1"/>
  <c r="K750" i="1"/>
  <c r="J750" i="1"/>
  <c r="G750" i="1"/>
  <c r="F750" i="1"/>
  <c r="E750" i="1"/>
  <c r="D750" i="1"/>
  <c r="C750" i="1"/>
  <c r="B750" i="1"/>
  <c r="A750" i="1"/>
  <c r="M749" i="1"/>
  <c r="L749" i="1"/>
  <c r="K749" i="1"/>
  <c r="J749" i="1"/>
  <c r="G749" i="1"/>
  <c r="F749" i="1"/>
  <c r="E749" i="1"/>
  <c r="D749" i="1"/>
  <c r="C749" i="1"/>
  <c r="B749" i="1"/>
  <c r="A749" i="1"/>
  <c r="M748" i="1"/>
  <c r="L748" i="1"/>
  <c r="K748" i="1"/>
  <c r="J748" i="1"/>
  <c r="G748" i="1"/>
  <c r="F748" i="1"/>
  <c r="E748" i="1"/>
  <c r="D748" i="1"/>
  <c r="C748" i="1"/>
  <c r="B748" i="1"/>
  <c r="A748" i="1"/>
  <c r="M747" i="1"/>
  <c r="L747" i="1"/>
  <c r="K747" i="1"/>
  <c r="J747" i="1"/>
  <c r="G747" i="1"/>
  <c r="F747" i="1"/>
  <c r="E747" i="1"/>
  <c r="D747" i="1"/>
  <c r="C747" i="1"/>
  <c r="B747" i="1"/>
  <c r="A747" i="1"/>
  <c r="M746" i="1"/>
  <c r="L746" i="1"/>
  <c r="K746" i="1"/>
  <c r="J746" i="1"/>
  <c r="G746" i="1"/>
  <c r="F746" i="1"/>
  <c r="E746" i="1"/>
  <c r="D746" i="1"/>
  <c r="C746" i="1"/>
  <c r="B746" i="1"/>
  <c r="A746" i="1"/>
  <c r="M745" i="1"/>
  <c r="L745" i="1"/>
  <c r="K745" i="1"/>
  <c r="J745" i="1"/>
  <c r="G745" i="1"/>
  <c r="F745" i="1"/>
  <c r="E745" i="1"/>
  <c r="D745" i="1"/>
  <c r="C745" i="1"/>
  <c r="B745" i="1"/>
  <c r="A745" i="1"/>
  <c r="M744" i="1"/>
  <c r="L744" i="1"/>
  <c r="K744" i="1"/>
  <c r="J744" i="1"/>
  <c r="G744" i="1"/>
  <c r="F744" i="1"/>
  <c r="E744" i="1"/>
  <c r="D744" i="1"/>
  <c r="C744" i="1"/>
  <c r="B744" i="1"/>
  <c r="A744" i="1"/>
  <c r="M743" i="1"/>
  <c r="L743" i="1"/>
  <c r="K743" i="1"/>
  <c r="J743" i="1"/>
  <c r="G743" i="1"/>
  <c r="F743" i="1"/>
  <c r="E743" i="1"/>
  <c r="D743" i="1"/>
  <c r="C743" i="1"/>
  <c r="B743" i="1"/>
  <c r="A743" i="1"/>
  <c r="M742" i="1"/>
  <c r="L742" i="1"/>
  <c r="K742" i="1"/>
  <c r="J742" i="1"/>
  <c r="G742" i="1"/>
  <c r="F742" i="1"/>
  <c r="E742" i="1"/>
  <c r="D742" i="1"/>
  <c r="C742" i="1"/>
  <c r="B742" i="1"/>
  <c r="A742" i="1"/>
  <c r="M741" i="1"/>
  <c r="L741" i="1"/>
  <c r="K741" i="1"/>
  <c r="J741" i="1"/>
  <c r="G741" i="1"/>
  <c r="F741" i="1"/>
  <c r="E741" i="1"/>
  <c r="D741" i="1"/>
  <c r="C741" i="1"/>
  <c r="B741" i="1"/>
  <c r="A741" i="1"/>
  <c r="M740" i="1"/>
  <c r="L740" i="1"/>
  <c r="K740" i="1"/>
  <c r="J740" i="1"/>
  <c r="G740" i="1"/>
  <c r="F740" i="1"/>
  <c r="E740" i="1"/>
  <c r="D740" i="1"/>
  <c r="C740" i="1"/>
  <c r="B740" i="1"/>
  <c r="A740" i="1"/>
  <c r="M739" i="1"/>
  <c r="L739" i="1"/>
  <c r="K739" i="1"/>
  <c r="J739" i="1"/>
  <c r="G739" i="1"/>
  <c r="F739" i="1"/>
  <c r="E739" i="1"/>
  <c r="D739" i="1"/>
  <c r="C739" i="1"/>
  <c r="B739" i="1"/>
  <c r="A739" i="1"/>
  <c r="M738" i="1"/>
  <c r="L738" i="1"/>
  <c r="K738" i="1"/>
  <c r="J738" i="1"/>
  <c r="G738" i="1"/>
  <c r="F738" i="1"/>
  <c r="E738" i="1"/>
  <c r="D738" i="1"/>
  <c r="C738" i="1"/>
  <c r="B738" i="1"/>
  <c r="A738" i="1"/>
  <c r="M737" i="1"/>
  <c r="L737" i="1"/>
  <c r="K737" i="1"/>
  <c r="J737" i="1"/>
  <c r="G737" i="1"/>
  <c r="F737" i="1"/>
  <c r="E737" i="1"/>
  <c r="D737" i="1"/>
  <c r="C737" i="1"/>
  <c r="B737" i="1"/>
  <c r="A737" i="1"/>
  <c r="M736" i="1"/>
  <c r="L736" i="1"/>
  <c r="K736" i="1"/>
  <c r="J736" i="1"/>
  <c r="G736" i="1"/>
  <c r="F736" i="1"/>
  <c r="E736" i="1"/>
  <c r="D736" i="1"/>
  <c r="C736" i="1"/>
  <c r="B736" i="1"/>
  <c r="A736" i="1"/>
  <c r="M735" i="1"/>
  <c r="L735" i="1"/>
  <c r="K735" i="1"/>
  <c r="J735" i="1"/>
  <c r="G735" i="1"/>
  <c r="F735" i="1"/>
  <c r="E735" i="1"/>
  <c r="D735" i="1"/>
  <c r="C735" i="1"/>
  <c r="B735" i="1"/>
  <c r="A735" i="1"/>
  <c r="M734" i="1"/>
  <c r="L734" i="1"/>
  <c r="K734" i="1"/>
  <c r="J734" i="1"/>
  <c r="G734" i="1"/>
  <c r="F734" i="1"/>
  <c r="E734" i="1"/>
  <c r="D734" i="1"/>
  <c r="C734" i="1"/>
  <c r="B734" i="1"/>
  <c r="A734" i="1"/>
  <c r="L733" i="1"/>
  <c r="K733" i="1"/>
  <c r="J733" i="1"/>
  <c r="G733" i="1"/>
  <c r="F733" i="1"/>
  <c r="E733" i="1"/>
  <c r="D733" i="1"/>
  <c r="C733" i="1"/>
  <c r="B733" i="1"/>
  <c r="A733" i="1"/>
  <c r="M731" i="1"/>
  <c r="I731" i="1"/>
  <c r="H731" i="1"/>
  <c r="M730" i="1"/>
  <c r="L730" i="1"/>
  <c r="K730" i="1"/>
  <c r="J730" i="1"/>
  <c r="G730" i="1"/>
  <c r="F730" i="1"/>
  <c r="E730" i="1"/>
  <c r="D730" i="1"/>
  <c r="C730" i="1"/>
  <c r="B730" i="1"/>
  <c r="A730" i="1"/>
  <c r="M729" i="1"/>
  <c r="L729" i="1"/>
  <c r="K729" i="1"/>
  <c r="J729" i="1"/>
  <c r="G729" i="1"/>
  <c r="F729" i="1"/>
  <c r="E729" i="1"/>
  <c r="D729" i="1"/>
  <c r="C729" i="1"/>
  <c r="B729" i="1"/>
  <c r="A729" i="1"/>
  <c r="M728" i="1"/>
  <c r="L728" i="1"/>
  <c r="K728" i="1"/>
  <c r="J728" i="1"/>
  <c r="G728" i="1"/>
  <c r="F728" i="1"/>
  <c r="E728" i="1"/>
  <c r="D728" i="1"/>
  <c r="C728" i="1"/>
  <c r="B728" i="1"/>
  <c r="A728" i="1"/>
  <c r="M727" i="1"/>
  <c r="L727" i="1"/>
  <c r="K727" i="1"/>
  <c r="J727" i="1"/>
  <c r="G727" i="1"/>
  <c r="F727" i="1"/>
  <c r="E727" i="1"/>
  <c r="D727" i="1"/>
  <c r="C727" i="1"/>
  <c r="B727" i="1"/>
  <c r="A727" i="1"/>
  <c r="M726" i="1"/>
  <c r="L726" i="1"/>
  <c r="K726" i="1"/>
  <c r="J726" i="1"/>
  <c r="G726" i="1"/>
  <c r="F726" i="1"/>
  <c r="E726" i="1"/>
  <c r="D726" i="1"/>
  <c r="C726" i="1"/>
  <c r="B726" i="1"/>
  <c r="A726" i="1"/>
  <c r="M725" i="1"/>
  <c r="L725" i="1"/>
  <c r="K725" i="1"/>
  <c r="J725" i="1"/>
  <c r="G725" i="1"/>
  <c r="F725" i="1"/>
  <c r="E725" i="1"/>
  <c r="D725" i="1"/>
  <c r="C725" i="1"/>
  <c r="B725" i="1"/>
  <c r="A725" i="1"/>
  <c r="M724" i="1"/>
  <c r="L724" i="1"/>
  <c r="K724" i="1"/>
  <c r="J724" i="1"/>
  <c r="G724" i="1"/>
  <c r="F724" i="1"/>
  <c r="E724" i="1"/>
  <c r="D724" i="1"/>
  <c r="C724" i="1"/>
  <c r="B724" i="1"/>
  <c r="A724" i="1"/>
  <c r="M723" i="1"/>
  <c r="L723" i="1"/>
  <c r="K723" i="1"/>
  <c r="J723" i="1"/>
  <c r="G723" i="1"/>
  <c r="F723" i="1"/>
  <c r="E723" i="1"/>
  <c r="D723" i="1"/>
  <c r="C723" i="1"/>
  <c r="B723" i="1"/>
  <c r="A723" i="1"/>
  <c r="M722" i="1"/>
  <c r="L722" i="1"/>
  <c r="K722" i="1"/>
  <c r="J722" i="1"/>
  <c r="G722" i="1"/>
  <c r="F722" i="1"/>
  <c r="E722" i="1"/>
  <c r="D722" i="1"/>
  <c r="C722" i="1"/>
  <c r="B722" i="1"/>
  <c r="A722" i="1"/>
  <c r="M721" i="1"/>
  <c r="L721" i="1"/>
  <c r="K721" i="1"/>
  <c r="J721" i="1"/>
  <c r="G721" i="1"/>
  <c r="F721" i="1"/>
  <c r="E721" i="1"/>
  <c r="D721" i="1"/>
  <c r="C721" i="1"/>
  <c r="B721" i="1"/>
  <c r="A721" i="1"/>
  <c r="M720" i="1"/>
  <c r="L720" i="1"/>
  <c r="K720" i="1"/>
  <c r="J720" i="1"/>
  <c r="G720" i="1"/>
  <c r="F720" i="1"/>
  <c r="E720" i="1"/>
  <c r="D720" i="1"/>
  <c r="C720" i="1"/>
  <c r="B720" i="1"/>
  <c r="A720" i="1"/>
  <c r="M719" i="1"/>
  <c r="L719" i="1"/>
  <c r="K719" i="1"/>
  <c r="J719" i="1"/>
  <c r="G719" i="1"/>
  <c r="F719" i="1"/>
  <c r="E719" i="1"/>
  <c r="D719" i="1"/>
  <c r="C719" i="1"/>
  <c r="B719" i="1"/>
  <c r="A719" i="1"/>
  <c r="M718" i="1"/>
  <c r="L718" i="1"/>
  <c r="K718" i="1"/>
  <c r="J718" i="1"/>
  <c r="G718" i="1"/>
  <c r="F718" i="1"/>
  <c r="E718" i="1"/>
  <c r="D718" i="1"/>
  <c r="C718" i="1"/>
  <c r="B718" i="1"/>
  <c r="A718" i="1"/>
  <c r="M717" i="1"/>
  <c r="L717" i="1"/>
  <c r="K717" i="1"/>
  <c r="J717" i="1"/>
  <c r="G717" i="1"/>
  <c r="F717" i="1"/>
  <c r="E717" i="1"/>
  <c r="D717" i="1"/>
  <c r="C717" i="1"/>
  <c r="B717" i="1"/>
  <c r="A717" i="1"/>
  <c r="M716" i="1"/>
  <c r="L716" i="1"/>
  <c r="K716" i="1"/>
  <c r="J716" i="1"/>
  <c r="G716" i="1"/>
  <c r="F716" i="1"/>
  <c r="E716" i="1"/>
  <c r="D716" i="1"/>
  <c r="C716" i="1"/>
  <c r="B716" i="1"/>
  <c r="A716" i="1"/>
  <c r="M715" i="1"/>
  <c r="L715" i="1"/>
  <c r="K715" i="1"/>
  <c r="J715" i="1"/>
  <c r="G715" i="1"/>
  <c r="F715" i="1"/>
  <c r="E715" i="1"/>
  <c r="D715" i="1"/>
  <c r="C715" i="1"/>
  <c r="B715" i="1"/>
  <c r="A715" i="1"/>
  <c r="M714" i="1"/>
  <c r="L714" i="1"/>
  <c r="K714" i="1"/>
  <c r="J714" i="1"/>
  <c r="G714" i="1"/>
  <c r="F714" i="1"/>
  <c r="E714" i="1"/>
  <c r="D714" i="1"/>
  <c r="C714" i="1"/>
  <c r="B714" i="1"/>
  <c r="A714" i="1"/>
  <c r="M713" i="1"/>
  <c r="L713" i="1"/>
  <c r="K713" i="1"/>
  <c r="J713" i="1"/>
  <c r="G713" i="1"/>
  <c r="F713" i="1"/>
  <c r="E713" i="1"/>
  <c r="D713" i="1"/>
  <c r="C713" i="1"/>
  <c r="B713" i="1"/>
  <c r="A713" i="1"/>
  <c r="M712" i="1"/>
  <c r="L712" i="1"/>
  <c r="K712" i="1"/>
  <c r="J712" i="1"/>
  <c r="G712" i="1"/>
  <c r="F712" i="1"/>
  <c r="E712" i="1"/>
  <c r="D712" i="1"/>
  <c r="C712" i="1"/>
  <c r="B712" i="1"/>
  <c r="A712" i="1"/>
  <c r="M711" i="1"/>
  <c r="L711" i="1"/>
  <c r="K711" i="1"/>
  <c r="J711" i="1"/>
  <c r="G711" i="1"/>
  <c r="F711" i="1"/>
  <c r="E711" i="1"/>
  <c r="D711" i="1"/>
  <c r="C711" i="1"/>
  <c r="B711" i="1"/>
  <c r="A711" i="1"/>
  <c r="M710" i="1"/>
  <c r="L710" i="1"/>
  <c r="K710" i="1"/>
  <c r="J710" i="1"/>
  <c r="G710" i="1"/>
  <c r="F710" i="1"/>
  <c r="E710" i="1"/>
  <c r="D710" i="1"/>
  <c r="C710" i="1"/>
  <c r="B710" i="1"/>
  <c r="A710" i="1"/>
  <c r="M709" i="1"/>
  <c r="L709" i="1"/>
  <c r="K709" i="1"/>
  <c r="J709" i="1"/>
  <c r="G709" i="1"/>
  <c r="F709" i="1"/>
  <c r="E709" i="1"/>
  <c r="D709" i="1"/>
  <c r="C709" i="1"/>
  <c r="B709" i="1"/>
  <c r="A709" i="1"/>
  <c r="M708" i="1"/>
  <c r="L708" i="1"/>
  <c r="K708" i="1"/>
  <c r="J708" i="1"/>
  <c r="G708" i="1"/>
  <c r="F708" i="1"/>
  <c r="E708" i="1"/>
  <c r="D708" i="1"/>
  <c r="C708" i="1"/>
  <c r="B708" i="1"/>
  <c r="A708" i="1"/>
  <c r="M707" i="1"/>
  <c r="L707" i="1"/>
  <c r="K707" i="1"/>
  <c r="J707" i="1"/>
  <c r="G707" i="1"/>
  <c r="F707" i="1"/>
  <c r="E707" i="1"/>
  <c r="D707" i="1"/>
  <c r="C707" i="1"/>
  <c r="B707" i="1"/>
  <c r="A707" i="1"/>
  <c r="M706" i="1"/>
  <c r="L706" i="1"/>
  <c r="K706" i="1"/>
  <c r="J706" i="1"/>
  <c r="G706" i="1"/>
  <c r="F706" i="1"/>
  <c r="E706" i="1"/>
  <c r="D706" i="1"/>
  <c r="C706" i="1"/>
  <c r="B706" i="1"/>
  <c r="A706" i="1"/>
  <c r="M705" i="1"/>
  <c r="L705" i="1"/>
  <c r="K705" i="1"/>
  <c r="J705" i="1"/>
  <c r="G705" i="1"/>
  <c r="F705" i="1"/>
  <c r="E705" i="1"/>
  <c r="D705" i="1"/>
  <c r="C705" i="1"/>
  <c r="B705" i="1"/>
  <c r="A705" i="1"/>
  <c r="M704" i="1"/>
  <c r="L704" i="1"/>
  <c r="K704" i="1"/>
  <c r="J704" i="1"/>
  <c r="G704" i="1"/>
  <c r="F704" i="1"/>
  <c r="E704" i="1"/>
  <c r="D704" i="1"/>
  <c r="C704" i="1"/>
  <c r="B704" i="1"/>
  <c r="A704" i="1"/>
  <c r="M703" i="1"/>
  <c r="L703" i="1"/>
  <c r="K703" i="1"/>
  <c r="J703" i="1"/>
  <c r="G703" i="1"/>
  <c r="F703" i="1"/>
  <c r="E703" i="1"/>
  <c r="D703" i="1"/>
  <c r="C703" i="1"/>
  <c r="B703" i="1"/>
  <c r="A703" i="1"/>
  <c r="M702" i="1"/>
  <c r="L702" i="1"/>
  <c r="K702" i="1"/>
  <c r="J702" i="1"/>
  <c r="G702" i="1"/>
  <c r="F702" i="1"/>
  <c r="E702" i="1"/>
  <c r="D702" i="1"/>
  <c r="C702" i="1"/>
  <c r="B702" i="1"/>
  <c r="A702" i="1"/>
  <c r="M701" i="1"/>
  <c r="L701" i="1"/>
  <c r="K701" i="1"/>
  <c r="J701" i="1"/>
  <c r="G701" i="1"/>
  <c r="F701" i="1"/>
  <c r="E701" i="1"/>
  <c r="D701" i="1"/>
  <c r="C701" i="1"/>
  <c r="B701" i="1"/>
  <c r="A701" i="1"/>
  <c r="M700" i="1"/>
  <c r="L700" i="1"/>
  <c r="K700" i="1"/>
  <c r="J700" i="1"/>
  <c r="G700" i="1"/>
  <c r="F700" i="1"/>
  <c r="E700" i="1"/>
  <c r="D700" i="1"/>
  <c r="C700" i="1"/>
  <c r="B700" i="1"/>
  <c r="A700" i="1"/>
  <c r="M699" i="1"/>
  <c r="L699" i="1"/>
  <c r="K699" i="1"/>
  <c r="J699" i="1"/>
  <c r="G699" i="1"/>
  <c r="F699" i="1"/>
  <c r="E699" i="1"/>
  <c r="D699" i="1"/>
  <c r="C699" i="1"/>
  <c r="B699" i="1"/>
  <c r="A699" i="1"/>
  <c r="M698" i="1"/>
  <c r="L698" i="1"/>
  <c r="K698" i="1"/>
  <c r="J698" i="1"/>
  <c r="G698" i="1"/>
  <c r="F698" i="1"/>
  <c r="E698" i="1"/>
  <c r="D698" i="1"/>
  <c r="C698" i="1"/>
  <c r="B698" i="1"/>
  <c r="A698" i="1"/>
  <c r="M697" i="1"/>
  <c r="L697" i="1"/>
  <c r="K697" i="1"/>
  <c r="J697" i="1"/>
  <c r="G697" i="1"/>
  <c r="F697" i="1"/>
  <c r="E697" i="1"/>
  <c r="D697" i="1"/>
  <c r="C697" i="1"/>
  <c r="B697" i="1"/>
  <c r="A697" i="1"/>
  <c r="M696" i="1"/>
  <c r="L696" i="1"/>
  <c r="K696" i="1"/>
  <c r="J696" i="1"/>
  <c r="G696" i="1"/>
  <c r="F696" i="1"/>
  <c r="E696" i="1"/>
  <c r="D696" i="1"/>
  <c r="C696" i="1"/>
  <c r="B696" i="1"/>
  <c r="A696" i="1"/>
  <c r="M695" i="1"/>
  <c r="L695" i="1"/>
  <c r="K695" i="1"/>
  <c r="J695" i="1"/>
  <c r="G695" i="1"/>
  <c r="F695" i="1"/>
  <c r="E695" i="1"/>
  <c r="D695" i="1"/>
  <c r="C695" i="1"/>
  <c r="B695" i="1"/>
  <c r="A695" i="1"/>
  <c r="M694" i="1"/>
  <c r="L694" i="1"/>
  <c r="K694" i="1"/>
  <c r="J694" i="1"/>
  <c r="G694" i="1"/>
  <c r="F694" i="1"/>
  <c r="E694" i="1"/>
  <c r="D694" i="1"/>
  <c r="C694" i="1"/>
  <c r="B694" i="1"/>
  <c r="A694" i="1"/>
  <c r="M693" i="1"/>
  <c r="L693" i="1"/>
  <c r="K693" i="1"/>
  <c r="J693" i="1"/>
  <c r="G693" i="1"/>
  <c r="F693" i="1"/>
  <c r="E693" i="1"/>
  <c r="D693" i="1"/>
  <c r="C693" i="1"/>
  <c r="B693" i="1"/>
  <c r="A693" i="1"/>
  <c r="M692" i="1"/>
  <c r="L692" i="1"/>
  <c r="K692" i="1"/>
  <c r="J692" i="1"/>
  <c r="G692" i="1"/>
  <c r="F692" i="1"/>
  <c r="E692" i="1"/>
  <c r="D692" i="1"/>
  <c r="C692" i="1"/>
  <c r="B692" i="1"/>
  <c r="A692" i="1"/>
  <c r="M691" i="1"/>
  <c r="L691" i="1"/>
  <c r="K691" i="1"/>
  <c r="J691" i="1"/>
  <c r="G691" i="1"/>
  <c r="F691" i="1"/>
  <c r="E691" i="1"/>
  <c r="D691" i="1"/>
  <c r="C691" i="1"/>
  <c r="B691" i="1"/>
  <c r="A691" i="1"/>
  <c r="M690" i="1"/>
  <c r="L690" i="1"/>
  <c r="K690" i="1"/>
  <c r="J690" i="1"/>
  <c r="G690" i="1"/>
  <c r="F690" i="1"/>
  <c r="E690" i="1"/>
  <c r="D690" i="1"/>
  <c r="C690" i="1"/>
  <c r="B690" i="1"/>
  <c r="A690" i="1"/>
  <c r="M689" i="1"/>
  <c r="L689" i="1"/>
  <c r="K689" i="1"/>
  <c r="J689" i="1"/>
  <c r="G689" i="1"/>
  <c r="F689" i="1"/>
  <c r="E689" i="1"/>
  <c r="D689" i="1"/>
  <c r="C689" i="1"/>
  <c r="B689" i="1"/>
  <c r="A689" i="1"/>
  <c r="M688" i="1"/>
  <c r="L688" i="1"/>
  <c r="K688" i="1"/>
  <c r="J688" i="1"/>
  <c r="G688" i="1"/>
  <c r="F688" i="1"/>
  <c r="E688" i="1"/>
  <c r="D688" i="1"/>
  <c r="C688" i="1"/>
  <c r="B688" i="1"/>
  <c r="A688" i="1"/>
  <c r="M687" i="1"/>
  <c r="L687" i="1"/>
  <c r="K687" i="1"/>
  <c r="J687" i="1"/>
  <c r="G687" i="1"/>
  <c r="F687" i="1"/>
  <c r="E687" i="1"/>
  <c r="D687" i="1"/>
  <c r="C687" i="1"/>
  <c r="B687" i="1"/>
  <c r="A687" i="1"/>
  <c r="M686" i="1"/>
  <c r="L686" i="1"/>
  <c r="K686" i="1"/>
  <c r="J686" i="1"/>
  <c r="G686" i="1"/>
  <c r="F686" i="1"/>
  <c r="E686" i="1"/>
  <c r="D686" i="1"/>
  <c r="C686" i="1"/>
  <c r="B686" i="1"/>
  <c r="A686" i="1"/>
  <c r="M685" i="1"/>
  <c r="L685" i="1"/>
  <c r="K685" i="1"/>
  <c r="J685" i="1"/>
  <c r="G685" i="1"/>
  <c r="F685" i="1"/>
  <c r="E685" i="1"/>
  <c r="D685" i="1"/>
  <c r="C685" i="1"/>
  <c r="B685" i="1"/>
  <c r="A685" i="1"/>
  <c r="M684" i="1"/>
  <c r="L684" i="1"/>
  <c r="K684" i="1"/>
  <c r="J684" i="1"/>
  <c r="G684" i="1"/>
  <c r="F684" i="1"/>
  <c r="E684" i="1"/>
  <c r="D684" i="1"/>
  <c r="C684" i="1"/>
  <c r="B684" i="1"/>
  <c r="A684" i="1"/>
  <c r="L683" i="1"/>
  <c r="K683" i="1"/>
  <c r="J683" i="1"/>
  <c r="G683" i="1"/>
  <c r="F683" i="1"/>
  <c r="E683" i="1"/>
  <c r="D683" i="1"/>
  <c r="C683" i="1"/>
  <c r="B683" i="1"/>
  <c r="A683" i="1"/>
  <c r="M681" i="1"/>
  <c r="I681" i="1"/>
  <c r="H681" i="1"/>
  <c r="M680" i="1"/>
  <c r="L680" i="1"/>
  <c r="K680" i="1"/>
  <c r="J680" i="1"/>
  <c r="G680" i="1"/>
  <c r="F680" i="1"/>
  <c r="E680" i="1"/>
  <c r="D680" i="1"/>
  <c r="C680" i="1"/>
  <c r="B680" i="1"/>
  <c r="A680" i="1"/>
  <c r="M679" i="1"/>
  <c r="L679" i="1"/>
  <c r="K679" i="1"/>
  <c r="J679" i="1"/>
  <c r="G679" i="1"/>
  <c r="F679" i="1"/>
  <c r="E679" i="1"/>
  <c r="D679" i="1"/>
  <c r="C679" i="1"/>
  <c r="B679" i="1"/>
  <c r="A679" i="1"/>
  <c r="M678" i="1"/>
  <c r="L678" i="1"/>
  <c r="K678" i="1"/>
  <c r="J678" i="1"/>
  <c r="G678" i="1"/>
  <c r="F678" i="1"/>
  <c r="E678" i="1"/>
  <c r="D678" i="1"/>
  <c r="C678" i="1"/>
  <c r="B678" i="1"/>
  <c r="A678" i="1"/>
  <c r="M677" i="1"/>
  <c r="L677" i="1"/>
  <c r="K677" i="1"/>
  <c r="J677" i="1"/>
  <c r="G677" i="1"/>
  <c r="F677" i="1"/>
  <c r="E677" i="1"/>
  <c r="D677" i="1"/>
  <c r="C677" i="1"/>
  <c r="B677" i="1"/>
  <c r="A677" i="1"/>
  <c r="M676" i="1"/>
  <c r="L676" i="1"/>
  <c r="K676" i="1"/>
  <c r="J676" i="1"/>
  <c r="G676" i="1"/>
  <c r="F676" i="1"/>
  <c r="E676" i="1"/>
  <c r="D676" i="1"/>
  <c r="C676" i="1"/>
  <c r="B676" i="1"/>
  <c r="A676" i="1"/>
  <c r="M675" i="1"/>
  <c r="L675" i="1"/>
  <c r="K675" i="1"/>
  <c r="J675" i="1"/>
  <c r="G675" i="1"/>
  <c r="F675" i="1"/>
  <c r="E675" i="1"/>
  <c r="D675" i="1"/>
  <c r="C675" i="1"/>
  <c r="B675" i="1"/>
  <c r="A675" i="1"/>
  <c r="M674" i="1"/>
  <c r="L674" i="1"/>
  <c r="K674" i="1"/>
  <c r="J674" i="1"/>
  <c r="G674" i="1"/>
  <c r="F674" i="1"/>
  <c r="E674" i="1"/>
  <c r="D674" i="1"/>
  <c r="C674" i="1"/>
  <c r="B674" i="1"/>
  <c r="A674" i="1"/>
  <c r="M673" i="1"/>
  <c r="L673" i="1"/>
  <c r="K673" i="1"/>
  <c r="J673" i="1"/>
  <c r="G673" i="1"/>
  <c r="F673" i="1"/>
  <c r="E673" i="1"/>
  <c r="D673" i="1"/>
  <c r="C673" i="1"/>
  <c r="B673" i="1"/>
  <c r="A673" i="1"/>
  <c r="L672" i="1"/>
  <c r="K672" i="1"/>
  <c r="J672" i="1"/>
  <c r="G672" i="1"/>
  <c r="F672" i="1"/>
  <c r="E672" i="1"/>
  <c r="D672" i="1"/>
  <c r="C672" i="1"/>
  <c r="B672" i="1"/>
  <c r="A672" i="1"/>
  <c r="M670" i="1"/>
  <c r="I670" i="1"/>
  <c r="H670" i="1"/>
  <c r="M669" i="1"/>
  <c r="L669" i="1"/>
  <c r="K669" i="1"/>
  <c r="J669" i="1"/>
  <c r="G669" i="1"/>
  <c r="F669" i="1"/>
  <c r="E669" i="1"/>
  <c r="D669" i="1"/>
  <c r="C669" i="1"/>
  <c r="B669" i="1"/>
  <c r="A669" i="1"/>
  <c r="M668" i="1"/>
  <c r="L668" i="1"/>
  <c r="K668" i="1"/>
  <c r="J668" i="1"/>
  <c r="G668" i="1"/>
  <c r="F668" i="1"/>
  <c r="E668" i="1"/>
  <c r="D668" i="1"/>
  <c r="C668" i="1"/>
  <c r="B668" i="1"/>
  <c r="A668" i="1"/>
  <c r="M667" i="1"/>
  <c r="L667" i="1"/>
  <c r="K667" i="1"/>
  <c r="J667" i="1"/>
  <c r="G667" i="1"/>
  <c r="F667" i="1"/>
  <c r="E667" i="1"/>
  <c r="D667" i="1"/>
  <c r="C667" i="1"/>
  <c r="B667" i="1"/>
  <c r="A667" i="1"/>
  <c r="M666" i="1"/>
  <c r="L666" i="1"/>
  <c r="K666" i="1"/>
  <c r="J666" i="1"/>
  <c r="G666" i="1"/>
  <c r="F666" i="1"/>
  <c r="E666" i="1"/>
  <c r="D666" i="1"/>
  <c r="C666" i="1"/>
  <c r="B666" i="1"/>
  <c r="A666" i="1"/>
  <c r="M665" i="1"/>
  <c r="L665" i="1"/>
  <c r="K665" i="1"/>
  <c r="J665" i="1"/>
  <c r="G665" i="1"/>
  <c r="F665" i="1"/>
  <c r="E665" i="1"/>
  <c r="D665" i="1"/>
  <c r="C665" i="1"/>
  <c r="B665" i="1"/>
  <c r="A665" i="1"/>
  <c r="M664" i="1"/>
  <c r="L664" i="1"/>
  <c r="K664" i="1"/>
  <c r="J664" i="1"/>
  <c r="G664" i="1"/>
  <c r="F664" i="1"/>
  <c r="E664" i="1"/>
  <c r="D664" i="1"/>
  <c r="C664" i="1"/>
  <c r="B664" i="1"/>
  <c r="A664" i="1"/>
  <c r="M663" i="1"/>
  <c r="L663" i="1"/>
  <c r="K663" i="1"/>
  <c r="J663" i="1"/>
  <c r="G663" i="1"/>
  <c r="F663" i="1"/>
  <c r="E663" i="1"/>
  <c r="D663" i="1"/>
  <c r="C663" i="1"/>
  <c r="B663" i="1"/>
  <c r="A663" i="1"/>
  <c r="M662" i="1"/>
  <c r="L662" i="1"/>
  <c r="K662" i="1"/>
  <c r="J662" i="1"/>
  <c r="G662" i="1"/>
  <c r="F662" i="1"/>
  <c r="E662" i="1"/>
  <c r="D662" i="1"/>
  <c r="C662" i="1"/>
  <c r="B662" i="1"/>
  <c r="A662" i="1"/>
  <c r="M661" i="1"/>
  <c r="L661" i="1"/>
  <c r="K661" i="1"/>
  <c r="J661" i="1"/>
  <c r="G661" i="1"/>
  <c r="F661" i="1"/>
  <c r="E661" i="1"/>
  <c r="D661" i="1"/>
  <c r="C661" i="1"/>
  <c r="B661" i="1"/>
  <c r="A661" i="1"/>
  <c r="M660" i="1"/>
  <c r="L660" i="1"/>
  <c r="K660" i="1"/>
  <c r="J660" i="1"/>
  <c r="G660" i="1"/>
  <c r="F660" i="1"/>
  <c r="E660" i="1"/>
  <c r="D660" i="1"/>
  <c r="C660" i="1"/>
  <c r="B660" i="1"/>
  <c r="A660" i="1"/>
  <c r="M659" i="1"/>
  <c r="L659" i="1"/>
  <c r="K659" i="1"/>
  <c r="J659" i="1"/>
  <c r="G659" i="1"/>
  <c r="F659" i="1"/>
  <c r="E659" i="1"/>
  <c r="D659" i="1"/>
  <c r="C659" i="1"/>
  <c r="B659" i="1"/>
  <c r="A659" i="1"/>
  <c r="M658" i="1"/>
  <c r="L658" i="1"/>
  <c r="K658" i="1"/>
  <c r="J658" i="1"/>
  <c r="G658" i="1"/>
  <c r="F658" i="1"/>
  <c r="E658" i="1"/>
  <c r="D658" i="1"/>
  <c r="C658" i="1"/>
  <c r="B658" i="1"/>
  <c r="A658" i="1"/>
  <c r="M657" i="1"/>
  <c r="L657" i="1"/>
  <c r="K657" i="1"/>
  <c r="J657" i="1"/>
  <c r="G657" i="1"/>
  <c r="F657" i="1"/>
  <c r="E657" i="1"/>
  <c r="D657" i="1"/>
  <c r="C657" i="1"/>
  <c r="B657" i="1"/>
  <c r="A657" i="1"/>
  <c r="M656" i="1"/>
  <c r="L656" i="1"/>
  <c r="K656" i="1"/>
  <c r="J656" i="1"/>
  <c r="G656" i="1"/>
  <c r="F656" i="1"/>
  <c r="E656" i="1"/>
  <c r="D656" i="1"/>
  <c r="C656" i="1"/>
  <c r="B656" i="1"/>
  <c r="A656" i="1"/>
  <c r="M655" i="1"/>
  <c r="L655" i="1"/>
  <c r="K655" i="1"/>
  <c r="J655" i="1"/>
  <c r="G655" i="1"/>
  <c r="F655" i="1"/>
  <c r="E655" i="1"/>
  <c r="D655" i="1"/>
  <c r="C655" i="1"/>
  <c r="B655" i="1"/>
  <c r="A655" i="1"/>
  <c r="M654" i="1"/>
  <c r="L654" i="1"/>
  <c r="K654" i="1"/>
  <c r="J654" i="1"/>
  <c r="G654" i="1"/>
  <c r="F654" i="1"/>
  <c r="E654" i="1"/>
  <c r="D654" i="1"/>
  <c r="C654" i="1"/>
  <c r="B654" i="1"/>
  <c r="A654" i="1"/>
  <c r="M653" i="1"/>
  <c r="L653" i="1"/>
  <c r="K653" i="1"/>
  <c r="J653" i="1"/>
  <c r="G653" i="1"/>
  <c r="F653" i="1"/>
  <c r="E653" i="1"/>
  <c r="D653" i="1"/>
  <c r="C653" i="1"/>
  <c r="B653" i="1"/>
  <c r="A653" i="1"/>
  <c r="M652" i="1"/>
  <c r="L652" i="1"/>
  <c r="K652" i="1"/>
  <c r="J652" i="1"/>
  <c r="G652" i="1"/>
  <c r="F652" i="1"/>
  <c r="E652" i="1"/>
  <c r="D652" i="1"/>
  <c r="C652" i="1"/>
  <c r="B652" i="1"/>
  <c r="A652" i="1"/>
  <c r="M651" i="1"/>
  <c r="L651" i="1"/>
  <c r="K651" i="1"/>
  <c r="J651" i="1"/>
  <c r="G651" i="1"/>
  <c r="F651" i="1"/>
  <c r="E651" i="1"/>
  <c r="D651" i="1"/>
  <c r="C651" i="1"/>
  <c r="B651" i="1"/>
  <c r="A651" i="1"/>
  <c r="M650" i="1"/>
  <c r="L650" i="1"/>
  <c r="K650" i="1"/>
  <c r="J650" i="1"/>
  <c r="G650" i="1"/>
  <c r="F650" i="1"/>
  <c r="E650" i="1"/>
  <c r="D650" i="1"/>
  <c r="C650" i="1"/>
  <c r="B650" i="1"/>
  <c r="A650" i="1"/>
  <c r="M649" i="1"/>
  <c r="L649" i="1"/>
  <c r="K649" i="1"/>
  <c r="J649" i="1"/>
  <c r="G649" i="1"/>
  <c r="F649" i="1"/>
  <c r="E649" i="1"/>
  <c r="D649" i="1"/>
  <c r="C649" i="1"/>
  <c r="B649" i="1"/>
  <c r="A649" i="1"/>
  <c r="M648" i="1"/>
  <c r="L648" i="1"/>
  <c r="K648" i="1"/>
  <c r="J648" i="1"/>
  <c r="G648" i="1"/>
  <c r="F648" i="1"/>
  <c r="E648" i="1"/>
  <c r="D648" i="1"/>
  <c r="C648" i="1"/>
  <c r="B648" i="1"/>
  <c r="A648" i="1"/>
  <c r="M647" i="1"/>
  <c r="L647" i="1"/>
  <c r="K647" i="1"/>
  <c r="J647" i="1"/>
  <c r="G647" i="1"/>
  <c r="F647" i="1"/>
  <c r="E647" i="1"/>
  <c r="D647" i="1"/>
  <c r="C647" i="1"/>
  <c r="B647" i="1"/>
  <c r="A647" i="1"/>
  <c r="M646" i="1"/>
  <c r="L646" i="1"/>
  <c r="K646" i="1"/>
  <c r="J646" i="1"/>
  <c r="G646" i="1"/>
  <c r="F646" i="1"/>
  <c r="E646" i="1"/>
  <c r="D646" i="1"/>
  <c r="C646" i="1"/>
  <c r="B646" i="1"/>
  <c r="A646" i="1"/>
  <c r="M645" i="1"/>
  <c r="L645" i="1"/>
  <c r="K645" i="1"/>
  <c r="J645" i="1"/>
  <c r="G645" i="1"/>
  <c r="F645" i="1"/>
  <c r="E645" i="1"/>
  <c r="D645" i="1"/>
  <c r="C645" i="1"/>
  <c r="B645" i="1"/>
  <c r="A645" i="1"/>
  <c r="M644" i="1"/>
  <c r="L644" i="1"/>
  <c r="K644" i="1"/>
  <c r="J644" i="1"/>
  <c r="G644" i="1"/>
  <c r="F644" i="1"/>
  <c r="E644" i="1"/>
  <c r="D644" i="1"/>
  <c r="C644" i="1"/>
  <c r="B644" i="1"/>
  <c r="A644" i="1"/>
  <c r="M643" i="1"/>
  <c r="L643" i="1"/>
  <c r="K643" i="1"/>
  <c r="J643" i="1"/>
  <c r="G643" i="1"/>
  <c r="F643" i="1"/>
  <c r="E643" i="1"/>
  <c r="D643" i="1"/>
  <c r="C643" i="1"/>
  <c r="B643" i="1"/>
  <c r="A643" i="1"/>
  <c r="M642" i="1"/>
  <c r="L642" i="1"/>
  <c r="K642" i="1"/>
  <c r="J642" i="1"/>
  <c r="G642" i="1"/>
  <c r="F642" i="1"/>
  <c r="E642" i="1"/>
  <c r="D642" i="1"/>
  <c r="C642" i="1"/>
  <c r="B642" i="1"/>
  <c r="A642" i="1"/>
  <c r="M641" i="1"/>
  <c r="L641" i="1"/>
  <c r="K641" i="1"/>
  <c r="J641" i="1"/>
  <c r="G641" i="1"/>
  <c r="F641" i="1"/>
  <c r="E641" i="1"/>
  <c r="D641" i="1"/>
  <c r="C641" i="1"/>
  <c r="B641" i="1"/>
  <c r="A641" i="1"/>
  <c r="M640" i="1"/>
  <c r="L640" i="1"/>
  <c r="K640" i="1"/>
  <c r="J640" i="1"/>
  <c r="G640" i="1"/>
  <c r="F640" i="1"/>
  <c r="E640" i="1"/>
  <c r="D640" i="1"/>
  <c r="C640" i="1"/>
  <c r="B640" i="1"/>
  <c r="A640" i="1"/>
  <c r="M639" i="1"/>
  <c r="L639" i="1"/>
  <c r="K639" i="1"/>
  <c r="J639" i="1"/>
  <c r="G639" i="1"/>
  <c r="F639" i="1"/>
  <c r="E639" i="1"/>
  <c r="D639" i="1"/>
  <c r="C639" i="1"/>
  <c r="B639" i="1"/>
  <c r="A639" i="1"/>
  <c r="M638" i="1"/>
  <c r="L638" i="1"/>
  <c r="K638" i="1"/>
  <c r="J638" i="1"/>
  <c r="G638" i="1"/>
  <c r="F638" i="1"/>
  <c r="E638" i="1"/>
  <c r="D638" i="1"/>
  <c r="C638" i="1"/>
  <c r="B638" i="1"/>
  <c r="A638" i="1"/>
  <c r="M637" i="1"/>
  <c r="L637" i="1"/>
  <c r="K637" i="1"/>
  <c r="J637" i="1"/>
  <c r="G637" i="1"/>
  <c r="F637" i="1"/>
  <c r="E637" i="1"/>
  <c r="D637" i="1"/>
  <c r="C637" i="1"/>
  <c r="B637" i="1"/>
  <c r="A637" i="1"/>
  <c r="M636" i="1"/>
  <c r="L636" i="1"/>
  <c r="K636" i="1"/>
  <c r="J636" i="1"/>
  <c r="G636" i="1"/>
  <c r="F636" i="1"/>
  <c r="E636" i="1"/>
  <c r="D636" i="1"/>
  <c r="C636" i="1"/>
  <c r="B636" i="1"/>
  <c r="A636" i="1"/>
  <c r="M635" i="1"/>
  <c r="L635" i="1"/>
  <c r="K635" i="1"/>
  <c r="J635" i="1"/>
  <c r="G635" i="1"/>
  <c r="F635" i="1"/>
  <c r="E635" i="1"/>
  <c r="D635" i="1"/>
  <c r="C635" i="1"/>
  <c r="B635" i="1"/>
  <c r="A635" i="1"/>
  <c r="M634" i="1"/>
  <c r="L634" i="1"/>
  <c r="K634" i="1"/>
  <c r="J634" i="1"/>
  <c r="G634" i="1"/>
  <c r="F634" i="1"/>
  <c r="E634" i="1"/>
  <c r="D634" i="1"/>
  <c r="C634" i="1"/>
  <c r="B634" i="1"/>
  <c r="A634" i="1"/>
  <c r="M633" i="1"/>
  <c r="L633" i="1"/>
  <c r="K633" i="1"/>
  <c r="J633" i="1"/>
  <c r="G633" i="1"/>
  <c r="F633" i="1"/>
  <c r="E633" i="1"/>
  <c r="D633" i="1"/>
  <c r="C633" i="1"/>
  <c r="B633" i="1"/>
  <c r="A633" i="1"/>
  <c r="M632" i="1"/>
  <c r="L632" i="1"/>
  <c r="K632" i="1"/>
  <c r="J632" i="1"/>
  <c r="G632" i="1"/>
  <c r="F632" i="1"/>
  <c r="E632" i="1"/>
  <c r="D632" i="1"/>
  <c r="C632" i="1"/>
  <c r="B632" i="1"/>
  <c r="A632" i="1"/>
  <c r="M631" i="1"/>
  <c r="L631" i="1"/>
  <c r="K631" i="1"/>
  <c r="J631" i="1"/>
  <c r="G631" i="1"/>
  <c r="F631" i="1"/>
  <c r="E631" i="1"/>
  <c r="D631" i="1"/>
  <c r="C631" i="1"/>
  <c r="B631" i="1"/>
  <c r="A631" i="1"/>
  <c r="L630" i="1"/>
  <c r="K630" i="1"/>
  <c r="J630" i="1"/>
  <c r="G630" i="1"/>
  <c r="F630" i="1"/>
  <c r="E630" i="1"/>
  <c r="D630" i="1"/>
  <c r="C630" i="1"/>
  <c r="B630" i="1"/>
  <c r="A630" i="1"/>
  <c r="M628" i="1"/>
  <c r="I628" i="1"/>
  <c r="H628" i="1"/>
  <c r="M627" i="1"/>
  <c r="L627" i="1"/>
  <c r="K627" i="1"/>
  <c r="J627" i="1"/>
  <c r="G627" i="1"/>
  <c r="F627" i="1"/>
  <c r="E627" i="1"/>
  <c r="D627" i="1"/>
  <c r="C627" i="1"/>
  <c r="B627" i="1"/>
  <c r="A627" i="1"/>
  <c r="M626" i="1"/>
  <c r="L626" i="1"/>
  <c r="K626" i="1"/>
  <c r="J626" i="1"/>
  <c r="G626" i="1"/>
  <c r="F626" i="1"/>
  <c r="E626" i="1"/>
  <c r="D626" i="1"/>
  <c r="C626" i="1"/>
  <c r="B626" i="1"/>
  <c r="A626" i="1"/>
  <c r="L625" i="1"/>
  <c r="K625" i="1"/>
  <c r="J625" i="1"/>
  <c r="G625" i="1"/>
  <c r="F625" i="1"/>
  <c r="E625" i="1"/>
  <c r="D625" i="1"/>
  <c r="C625" i="1"/>
  <c r="B625" i="1"/>
  <c r="A625" i="1"/>
  <c r="M623" i="1"/>
  <c r="I623" i="1"/>
  <c r="H623" i="1"/>
  <c r="M622" i="1"/>
  <c r="L622" i="1"/>
  <c r="K622" i="1"/>
  <c r="J622" i="1"/>
  <c r="G622" i="1"/>
  <c r="F622" i="1"/>
  <c r="E622" i="1"/>
  <c r="D622" i="1"/>
  <c r="C622" i="1"/>
  <c r="B622" i="1"/>
  <c r="A622" i="1"/>
  <c r="M621" i="1"/>
  <c r="L621" i="1"/>
  <c r="K621" i="1"/>
  <c r="J621" i="1"/>
  <c r="G621" i="1"/>
  <c r="F621" i="1"/>
  <c r="E621" i="1"/>
  <c r="D621" i="1"/>
  <c r="C621" i="1"/>
  <c r="B621" i="1"/>
  <c r="A621" i="1"/>
  <c r="M620" i="1"/>
  <c r="L620" i="1"/>
  <c r="K620" i="1"/>
  <c r="J620" i="1"/>
  <c r="G620" i="1"/>
  <c r="F620" i="1"/>
  <c r="E620" i="1"/>
  <c r="D620" i="1"/>
  <c r="C620" i="1"/>
  <c r="B620" i="1"/>
  <c r="A620" i="1"/>
  <c r="M619" i="1"/>
  <c r="L619" i="1"/>
  <c r="K619" i="1"/>
  <c r="J619" i="1"/>
  <c r="G619" i="1"/>
  <c r="F619" i="1"/>
  <c r="E619" i="1"/>
  <c r="D619" i="1"/>
  <c r="C619" i="1"/>
  <c r="B619" i="1"/>
  <c r="A619" i="1"/>
  <c r="M618" i="1"/>
  <c r="L618" i="1"/>
  <c r="K618" i="1"/>
  <c r="J618" i="1"/>
  <c r="G618" i="1"/>
  <c r="F618" i="1"/>
  <c r="E618" i="1"/>
  <c r="D618" i="1"/>
  <c r="C618" i="1"/>
  <c r="B618" i="1"/>
  <c r="A618" i="1"/>
  <c r="L617" i="1"/>
  <c r="K617" i="1"/>
  <c r="J617" i="1"/>
  <c r="G617" i="1"/>
  <c r="F617" i="1"/>
  <c r="E617" i="1"/>
  <c r="D617" i="1"/>
  <c r="C617" i="1"/>
  <c r="B617" i="1"/>
  <c r="A617" i="1"/>
  <c r="I615" i="1"/>
  <c r="H615" i="1"/>
  <c r="M614" i="1"/>
  <c r="L614" i="1"/>
  <c r="K614" i="1"/>
  <c r="J614" i="1"/>
  <c r="G614" i="1"/>
  <c r="F614" i="1"/>
  <c r="E614" i="1"/>
  <c r="D614" i="1"/>
  <c r="C614" i="1"/>
  <c r="B614" i="1"/>
  <c r="A614" i="1"/>
  <c r="M613" i="1"/>
  <c r="L613" i="1"/>
  <c r="K613" i="1"/>
  <c r="J613" i="1"/>
  <c r="G613" i="1"/>
  <c r="F613" i="1"/>
  <c r="E613" i="1"/>
  <c r="D613" i="1"/>
  <c r="C613" i="1"/>
  <c r="B613" i="1"/>
  <c r="A613" i="1"/>
  <c r="M612" i="1"/>
  <c r="K612" i="1"/>
  <c r="J612" i="1"/>
  <c r="G612" i="1"/>
  <c r="F612" i="1"/>
  <c r="E612" i="1"/>
  <c r="D612" i="1"/>
  <c r="C612" i="1"/>
  <c r="B612" i="1"/>
  <c r="A612" i="1"/>
  <c r="M611" i="1"/>
  <c r="K611" i="1"/>
  <c r="J611" i="1"/>
  <c r="G611" i="1"/>
  <c r="F611" i="1"/>
  <c r="E611" i="1"/>
  <c r="D611" i="1"/>
  <c r="C611" i="1"/>
  <c r="B611" i="1"/>
  <c r="A611" i="1"/>
  <c r="M610" i="1"/>
  <c r="K610" i="1"/>
  <c r="J610" i="1"/>
  <c r="G610" i="1"/>
  <c r="F610" i="1"/>
  <c r="E610" i="1"/>
  <c r="D610" i="1"/>
  <c r="C610" i="1"/>
  <c r="B610" i="1"/>
  <c r="A610" i="1"/>
  <c r="M609" i="1"/>
  <c r="K609" i="1"/>
  <c r="J609" i="1"/>
  <c r="G609" i="1"/>
  <c r="F609" i="1"/>
  <c r="E609" i="1"/>
  <c r="D609" i="1"/>
  <c r="C609" i="1"/>
  <c r="B609" i="1"/>
  <c r="A609" i="1"/>
  <c r="M608" i="1"/>
  <c r="K608" i="1"/>
  <c r="J608" i="1"/>
  <c r="G608" i="1"/>
  <c r="F608" i="1"/>
  <c r="E608" i="1"/>
  <c r="D608" i="1"/>
  <c r="C608" i="1"/>
  <c r="B608" i="1"/>
  <c r="A608" i="1"/>
  <c r="M607" i="1"/>
  <c r="K607" i="1"/>
  <c r="J607" i="1"/>
  <c r="G607" i="1"/>
  <c r="F607" i="1"/>
  <c r="E607" i="1"/>
  <c r="D607" i="1"/>
  <c r="C607" i="1"/>
  <c r="B607" i="1"/>
  <c r="A607" i="1"/>
  <c r="M606" i="1"/>
  <c r="K606" i="1"/>
  <c r="J606" i="1"/>
  <c r="G606" i="1"/>
  <c r="F606" i="1"/>
  <c r="E606" i="1"/>
  <c r="D606" i="1"/>
  <c r="C606" i="1"/>
  <c r="B606" i="1"/>
  <c r="A606" i="1"/>
  <c r="M605" i="1"/>
  <c r="K605" i="1"/>
  <c r="J605" i="1"/>
  <c r="G605" i="1"/>
  <c r="F605" i="1"/>
  <c r="E605" i="1"/>
  <c r="D605" i="1"/>
  <c r="C605" i="1"/>
  <c r="B605" i="1"/>
  <c r="A605" i="1"/>
  <c r="M604" i="1"/>
  <c r="K604" i="1"/>
  <c r="J604" i="1"/>
  <c r="G604" i="1"/>
  <c r="F604" i="1"/>
  <c r="E604" i="1"/>
  <c r="D604" i="1"/>
  <c r="C604" i="1"/>
  <c r="B604" i="1"/>
  <c r="A604" i="1"/>
  <c r="M603" i="1"/>
  <c r="K603" i="1"/>
  <c r="J603" i="1"/>
  <c r="G603" i="1"/>
  <c r="F603" i="1"/>
  <c r="E603" i="1"/>
  <c r="D603" i="1"/>
  <c r="C603" i="1"/>
  <c r="B603" i="1"/>
  <c r="A603" i="1"/>
  <c r="M602" i="1"/>
  <c r="K602" i="1"/>
  <c r="J602" i="1"/>
  <c r="G602" i="1"/>
  <c r="F602" i="1"/>
  <c r="E602" i="1"/>
  <c r="D602" i="1"/>
  <c r="C602" i="1"/>
  <c r="B602" i="1"/>
  <c r="A602" i="1"/>
  <c r="M601" i="1"/>
  <c r="K601" i="1"/>
  <c r="J601" i="1"/>
  <c r="G601" i="1"/>
  <c r="F601" i="1"/>
  <c r="E601" i="1"/>
  <c r="D601" i="1"/>
  <c r="C601" i="1"/>
  <c r="B601" i="1"/>
  <c r="A601" i="1"/>
  <c r="M600" i="1"/>
  <c r="K600" i="1"/>
  <c r="J600" i="1"/>
  <c r="G600" i="1"/>
  <c r="F600" i="1"/>
  <c r="E600" i="1"/>
  <c r="D600" i="1"/>
  <c r="C600" i="1"/>
  <c r="B600" i="1"/>
  <c r="A600" i="1"/>
  <c r="M599" i="1"/>
  <c r="K599" i="1"/>
  <c r="J599" i="1"/>
  <c r="G599" i="1"/>
  <c r="F599" i="1"/>
  <c r="E599" i="1"/>
  <c r="D599" i="1"/>
  <c r="C599" i="1"/>
  <c r="B599" i="1"/>
  <c r="A599" i="1"/>
  <c r="M598" i="1"/>
  <c r="K598" i="1"/>
  <c r="J598" i="1"/>
  <c r="G598" i="1"/>
  <c r="F598" i="1"/>
  <c r="E598" i="1"/>
  <c r="D598" i="1"/>
  <c r="C598" i="1"/>
  <c r="B598" i="1"/>
  <c r="A598" i="1"/>
  <c r="M597" i="1"/>
  <c r="K597" i="1"/>
  <c r="J597" i="1"/>
  <c r="G597" i="1"/>
  <c r="F597" i="1"/>
  <c r="E597" i="1"/>
  <c r="D597" i="1"/>
  <c r="C597" i="1"/>
  <c r="B597" i="1"/>
  <c r="A597" i="1"/>
  <c r="M596" i="1"/>
  <c r="K596" i="1"/>
  <c r="J596" i="1"/>
  <c r="G596" i="1"/>
  <c r="F596" i="1"/>
  <c r="E596" i="1"/>
  <c r="D596" i="1"/>
  <c r="C596" i="1"/>
  <c r="B596" i="1"/>
  <c r="A596" i="1"/>
  <c r="M595" i="1"/>
  <c r="K595" i="1"/>
  <c r="J595" i="1"/>
  <c r="G595" i="1"/>
  <c r="F595" i="1"/>
  <c r="E595" i="1"/>
  <c r="D595" i="1"/>
  <c r="C595" i="1"/>
  <c r="B595" i="1"/>
  <c r="A595" i="1"/>
  <c r="M594" i="1"/>
  <c r="K594" i="1"/>
  <c r="J594" i="1"/>
  <c r="G594" i="1"/>
  <c r="F594" i="1"/>
  <c r="E594" i="1"/>
  <c r="D594" i="1"/>
  <c r="C594" i="1"/>
  <c r="B594" i="1"/>
  <c r="A594" i="1"/>
  <c r="M593" i="1"/>
  <c r="K593" i="1"/>
  <c r="J593" i="1"/>
  <c r="G593" i="1"/>
  <c r="F593" i="1"/>
  <c r="E593" i="1"/>
  <c r="D593" i="1"/>
  <c r="C593" i="1"/>
  <c r="B593" i="1"/>
  <c r="A593" i="1"/>
  <c r="M592" i="1"/>
  <c r="K592" i="1"/>
  <c r="J592" i="1"/>
  <c r="G592" i="1"/>
  <c r="F592" i="1"/>
  <c r="E592" i="1"/>
  <c r="D592" i="1"/>
  <c r="C592" i="1"/>
  <c r="B592" i="1"/>
  <c r="A592" i="1"/>
  <c r="M591" i="1"/>
  <c r="K591" i="1"/>
  <c r="J591" i="1"/>
  <c r="G591" i="1"/>
  <c r="F591" i="1"/>
  <c r="E591" i="1"/>
  <c r="D591" i="1"/>
  <c r="C591" i="1"/>
  <c r="B591" i="1"/>
  <c r="A591" i="1"/>
  <c r="M590" i="1"/>
  <c r="K590" i="1"/>
  <c r="J590" i="1"/>
  <c r="G590" i="1"/>
  <c r="F590" i="1"/>
  <c r="E590" i="1"/>
  <c r="D590" i="1"/>
  <c r="C590" i="1"/>
  <c r="B590" i="1"/>
  <c r="A590" i="1"/>
  <c r="M589" i="1"/>
  <c r="K589" i="1"/>
  <c r="J589" i="1"/>
  <c r="G589" i="1"/>
  <c r="F589" i="1"/>
  <c r="E589" i="1"/>
  <c r="D589" i="1"/>
  <c r="C589" i="1"/>
  <c r="B589" i="1"/>
  <c r="A589" i="1"/>
  <c r="M588" i="1"/>
  <c r="K588" i="1"/>
  <c r="J588" i="1"/>
  <c r="G588" i="1"/>
  <c r="F588" i="1"/>
  <c r="E588" i="1"/>
  <c r="D588" i="1"/>
  <c r="C588" i="1"/>
  <c r="B588" i="1"/>
  <c r="A588" i="1"/>
  <c r="M587" i="1"/>
  <c r="K587" i="1"/>
  <c r="J587" i="1"/>
  <c r="G587" i="1"/>
  <c r="F587" i="1"/>
  <c r="E587" i="1"/>
  <c r="D587" i="1"/>
  <c r="C587" i="1"/>
  <c r="B587" i="1"/>
  <c r="A587" i="1"/>
  <c r="M586" i="1"/>
  <c r="K586" i="1"/>
  <c r="J586" i="1"/>
  <c r="G586" i="1"/>
  <c r="F586" i="1"/>
  <c r="E586" i="1"/>
  <c r="D586" i="1"/>
  <c r="C586" i="1"/>
  <c r="B586" i="1"/>
  <c r="A586" i="1"/>
  <c r="M585" i="1"/>
  <c r="K585" i="1"/>
  <c r="J585" i="1"/>
  <c r="G585" i="1"/>
  <c r="F585" i="1"/>
  <c r="E585" i="1"/>
  <c r="D585" i="1"/>
  <c r="C585" i="1"/>
  <c r="B585" i="1"/>
  <c r="A585" i="1"/>
  <c r="M584" i="1"/>
  <c r="K584" i="1"/>
  <c r="J584" i="1"/>
  <c r="G584" i="1"/>
  <c r="F584" i="1"/>
  <c r="E584" i="1"/>
  <c r="D584" i="1"/>
  <c r="C584" i="1"/>
  <c r="B584" i="1"/>
  <c r="A584" i="1"/>
  <c r="M583" i="1"/>
  <c r="K583" i="1"/>
  <c r="J583" i="1"/>
  <c r="G583" i="1"/>
  <c r="F583" i="1"/>
  <c r="E583" i="1"/>
  <c r="D583" i="1"/>
  <c r="C583" i="1"/>
  <c r="B583" i="1"/>
  <c r="A583" i="1"/>
  <c r="M582" i="1"/>
  <c r="K582" i="1"/>
  <c r="J582" i="1"/>
  <c r="G582" i="1"/>
  <c r="F582" i="1"/>
  <c r="E582" i="1"/>
  <c r="D582" i="1"/>
  <c r="C582" i="1"/>
  <c r="B582" i="1"/>
  <c r="A582" i="1"/>
  <c r="M581" i="1"/>
  <c r="K581" i="1"/>
  <c r="J581" i="1"/>
  <c r="G581" i="1"/>
  <c r="F581" i="1"/>
  <c r="E581" i="1"/>
  <c r="D581" i="1"/>
  <c r="C581" i="1"/>
  <c r="B581" i="1"/>
  <c r="A581" i="1"/>
  <c r="M580" i="1"/>
  <c r="K580" i="1"/>
  <c r="J580" i="1"/>
  <c r="G580" i="1"/>
  <c r="F580" i="1"/>
  <c r="E580" i="1"/>
  <c r="D580" i="1"/>
  <c r="C580" i="1"/>
  <c r="B580" i="1"/>
  <c r="A580" i="1"/>
  <c r="K579" i="1"/>
  <c r="J579" i="1"/>
  <c r="G579" i="1"/>
  <c r="F579" i="1"/>
  <c r="E579" i="1"/>
  <c r="D579" i="1"/>
  <c r="C579" i="1"/>
  <c r="B579" i="1"/>
  <c r="A579" i="1"/>
  <c r="M577" i="1"/>
  <c r="I577" i="1"/>
  <c r="H577" i="1"/>
  <c r="M576" i="1"/>
  <c r="L576" i="1"/>
  <c r="K576" i="1"/>
  <c r="J576" i="1"/>
  <c r="G576" i="1"/>
  <c r="F576" i="1"/>
  <c r="E576" i="1"/>
  <c r="D576" i="1"/>
  <c r="C576" i="1"/>
  <c r="B576" i="1"/>
  <c r="A576" i="1"/>
  <c r="M575" i="1"/>
  <c r="L575" i="1"/>
  <c r="K575" i="1"/>
  <c r="J575" i="1"/>
  <c r="G575" i="1"/>
  <c r="F575" i="1"/>
  <c r="E575" i="1"/>
  <c r="D575" i="1"/>
  <c r="C575" i="1"/>
  <c r="B575" i="1"/>
  <c r="A575" i="1"/>
  <c r="M574" i="1"/>
  <c r="L574" i="1"/>
  <c r="K574" i="1"/>
  <c r="J574" i="1"/>
  <c r="G574" i="1"/>
  <c r="F574" i="1"/>
  <c r="E574" i="1"/>
  <c r="D574" i="1"/>
  <c r="C574" i="1"/>
  <c r="B574" i="1"/>
  <c r="A574" i="1"/>
  <c r="M573" i="1"/>
  <c r="L573" i="1"/>
  <c r="K573" i="1"/>
  <c r="J573" i="1"/>
  <c r="G573" i="1"/>
  <c r="F573" i="1"/>
  <c r="E573" i="1"/>
  <c r="D573" i="1"/>
  <c r="C573" i="1"/>
  <c r="B573" i="1"/>
  <c r="A573" i="1"/>
  <c r="M572" i="1"/>
  <c r="L572" i="1"/>
  <c r="K572" i="1"/>
  <c r="J572" i="1"/>
  <c r="G572" i="1"/>
  <c r="F572" i="1"/>
  <c r="E572" i="1"/>
  <c r="D572" i="1"/>
  <c r="C572" i="1"/>
  <c r="B572" i="1"/>
  <c r="A572" i="1"/>
  <c r="M571" i="1"/>
  <c r="L571" i="1"/>
  <c r="K571" i="1"/>
  <c r="J571" i="1"/>
  <c r="G571" i="1"/>
  <c r="F571" i="1"/>
  <c r="E571" i="1"/>
  <c r="D571" i="1"/>
  <c r="C571" i="1"/>
  <c r="B571" i="1"/>
  <c r="A571" i="1"/>
  <c r="M570" i="1"/>
  <c r="L570" i="1"/>
  <c r="K570" i="1"/>
  <c r="J570" i="1"/>
  <c r="G570" i="1"/>
  <c r="F570" i="1"/>
  <c r="E570" i="1"/>
  <c r="D570" i="1"/>
  <c r="C570" i="1"/>
  <c r="B570" i="1"/>
  <c r="A570" i="1"/>
  <c r="M569" i="1"/>
  <c r="L569" i="1"/>
  <c r="K569" i="1"/>
  <c r="J569" i="1"/>
  <c r="G569" i="1"/>
  <c r="F569" i="1"/>
  <c r="E569" i="1"/>
  <c r="D569" i="1"/>
  <c r="C569" i="1"/>
  <c r="B569" i="1"/>
  <c r="A569" i="1"/>
  <c r="M568" i="1"/>
  <c r="L568" i="1"/>
  <c r="K568" i="1"/>
  <c r="J568" i="1"/>
  <c r="G568" i="1"/>
  <c r="F568" i="1"/>
  <c r="E568" i="1"/>
  <c r="D568" i="1"/>
  <c r="C568" i="1"/>
  <c r="B568" i="1"/>
  <c r="A568" i="1"/>
  <c r="L567" i="1"/>
  <c r="K567" i="1"/>
  <c r="J567" i="1"/>
  <c r="G567" i="1"/>
  <c r="F567" i="1"/>
  <c r="E567" i="1"/>
  <c r="D567" i="1"/>
  <c r="C567" i="1"/>
  <c r="B567" i="1"/>
  <c r="A567" i="1"/>
  <c r="M566" i="1"/>
  <c r="L565" i="1"/>
  <c r="K565" i="1"/>
  <c r="J565" i="1"/>
  <c r="I565" i="1"/>
  <c r="G565" i="1"/>
  <c r="F565" i="1"/>
  <c r="E565" i="1"/>
  <c r="D565" i="1"/>
  <c r="C565" i="1"/>
  <c r="B565" i="1"/>
  <c r="A565" i="1"/>
  <c r="M563" i="1"/>
  <c r="I563" i="1"/>
  <c r="H563" i="1"/>
  <c r="M562" i="1"/>
  <c r="L562" i="1"/>
  <c r="K562" i="1"/>
  <c r="J562" i="1"/>
  <c r="G562" i="1"/>
  <c r="F562" i="1"/>
  <c r="E562" i="1"/>
  <c r="D562" i="1"/>
  <c r="C562" i="1"/>
  <c r="B562" i="1"/>
  <c r="A562" i="1"/>
  <c r="M561" i="1"/>
  <c r="L561" i="1"/>
  <c r="K561" i="1"/>
  <c r="J561" i="1"/>
  <c r="G561" i="1"/>
  <c r="F561" i="1"/>
  <c r="E561" i="1"/>
  <c r="D561" i="1"/>
  <c r="C561" i="1"/>
  <c r="B561" i="1"/>
  <c r="A561" i="1"/>
  <c r="M560" i="1"/>
  <c r="L560" i="1"/>
  <c r="K560" i="1"/>
  <c r="J560" i="1"/>
  <c r="G560" i="1"/>
  <c r="F560" i="1"/>
  <c r="E560" i="1"/>
  <c r="D560" i="1"/>
  <c r="C560" i="1"/>
  <c r="B560" i="1"/>
  <c r="A560" i="1"/>
  <c r="M559" i="1"/>
  <c r="L559" i="1"/>
  <c r="K559" i="1"/>
  <c r="J559" i="1"/>
  <c r="G559" i="1"/>
  <c r="F559" i="1"/>
  <c r="E559" i="1"/>
  <c r="D559" i="1"/>
  <c r="C559" i="1"/>
  <c r="B559" i="1"/>
  <c r="A559" i="1"/>
  <c r="M558" i="1"/>
  <c r="L558" i="1"/>
  <c r="K558" i="1"/>
  <c r="J558" i="1"/>
  <c r="G558" i="1"/>
  <c r="F558" i="1"/>
  <c r="E558" i="1"/>
  <c r="D558" i="1"/>
  <c r="C558" i="1"/>
  <c r="B558" i="1"/>
  <c r="A558" i="1"/>
  <c r="M557" i="1"/>
  <c r="L557" i="1"/>
  <c r="K557" i="1"/>
  <c r="J557" i="1"/>
  <c r="G557" i="1"/>
  <c r="F557" i="1"/>
  <c r="E557" i="1"/>
  <c r="D557" i="1"/>
  <c r="C557" i="1"/>
  <c r="B557" i="1"/>
  <c r="A557" i="1"/>
  <c r="M556" i="1"/>
  <c r="L556" i="1"/>
  <c r="K556" i="1"/>
  <c r="J556" i="1"/>
  <c r="G556" i="1"/>
  <c r="F556" i="1"/>
  <c r="E556" i="1"/>
  <c r="D556" i="1"/>
  <c r="C556" i="1"/>
  <c r="B556" i="1"/>
  <c r="A556" i="1"/>
  <c r="M555" i="1"/>
  <c r="L555" i="1"/>
  <c r="K555" i="1"/>
  <c r="J555" i="1"/>
  <c r="G555" i="1"/>
  <c r="F555" i="1"/>
  <c r="E555" i="1"/>
  <c r="D555" i="1"/>
  <c r="C555" i="1"/>
  <c r="B555" i="1"/>
  <c r="A555" i="1"/>
  <c r="M554" i="1"/>
  <c r="L554" i="1"/>
  <c r="K554" i="1"/>
  <c r="J554" i="1"/>
  <c r="G554" i="1"/>
  <c r="F554" i="1"/>
  <c r="E554" i="1"/>
  <c r="D554" i="1"/>
  <c r="C554" i="1"/>
  <c r="B554" i="1"/>
  <c r="A554" i="1"/>
  <c r="M553" i="1"/>
  <c r="L553" i="1"/>
  <c r="K553" i="1"/>
  <c r="J553" i="1"/>
  <c r="G553" i="1"/>
  <c r="F553" i="1"/>
  <c r="E553" i="1"/>
  <c r="D553" i="1"/>
  <c r="C553" i="1"/>
  <c r="B553" i="1"/>
  <c r="A553" i="1"/>
  <c r="M552" i="1"/>
  <c r="L552" i="1"/>
  <c r="K552" i="1"/>
  <c r="J552" i="1"/>
  <c r="G552" i="1"/>
  <c r="F552" i="1"/>
  <c r="E552" i="1"/>
  <c r="D552" i="1"/>
  <c r="C552" i="1"/>
  <c r="B552" i="1"/>
  <c r="A552" i="1"/>
  <c r="M551" i="1"/>
  <c r="L551" i="1"/>
  <c r="K551" i="1"/>
  <c r="J551" i="1"/>
  <c r="G551" i="1"/>
  <c r="F551" i="1"/>
  <c r="E551" i="1"/>
  <c r="D551" i="1"/>
  <c r="C551" i="1"/>
  <c r="B551" i="1"/>
  <c r="A551" i="1"/>
  <c r="M550" i="1"/>
  <c r="L550" i="1"/>
  <c r="K550" i="1"/>
  <c r="J550" i="1"/>
  <c r="G550" i="1"/>
  <c r="F550" i="1"/>
  <c r="E550" i="1"/>
  <c r="D550" i="1"/>
  <c r="C550" i="1"/>
  <c r="B550" i="1"/>
  <c r="A550" i="1"/>
  <c r="M549" i="1"/>
  <c r="L549" i="1"/>
  <c r="K549" i="1"/>
  <c r="J549" i="1"/>
  <c r="G549" i="1"/>
  <c r="F549" i="1"/>
  <c r="E549" i="1"/>
  <c r="D549" i="1"/>
  <c r="C549" i="1"/>
  <c r="B549" i="1"/>
  <c r="A549" i="1"/>
  <c r="M548" i="1"/>
  <c r="L548" i="1"/>
  <c r="K548" i="1"/>
  <c r="J548" i="1"/>
  <c r="G548" i="1"/>
  <c r="F548" i="1"/>
  <c r="E548" i="1"/>
  <c r="D548" i="1"/>
  <c r="C548" i="1"/>
  <c r="B548" i="1"/>
  <c r="A548" i="1"/>
  <c r="M547" i="1"/>
  <c r="L547" i="1"/>
  <c r="K547" i="1"/>
  <c r="J547" i="1"/>
  <c r="G547" i="1"/>
  <c r="F547" i="1"/>
  <c r="E547" i="1"/>
  <c r="D547" i="1"/>
  <c r="C547" i="1"/>
  <c r="B547" i="1"/>
  <c r="A547" i="1"/>
  <c r="M546" i="1"/>
  <c r="L546" i="1"/>
  <c r="K546" i="1"/>
  <c r="J546" i="1"/>
  <c r="G546" i="1"/>
  <c r="F546" i="1"/>
  <c r="E546" i="1"/>
  <c r="D546" i="1"/>
  <c r="C546" i="1"/>
  <c r="B546" i="1"/>
  <c r="A546" i="1"/>
  <c r="M545" i="1"/>
  <c r="L545" i="1"/>
  <c r="K545" i="1"/>
  <c r="J545" i="1"/>
  <c r="G545" i="1"/>
  <c r="F545" i="1"/>
  <c r="E545" i="1"/>
  <c r="D545" i="1"/>
  <c r="C545" i="1"/>
  <c r="B545" i="1"/>
  <c r="A545" i="1"/>
  <c r="M544" i="1"/>
  <c r="L544" i="1"/>
  <c r="K544" i="1"/>
  <c r="J544" i="1"/>
  <c r="G544" i="1"/>
  <c r="F544" i="1"/>
  <c r="E544" i="1"/>
  <c r="D544" i="1"/>
  <c r="C544" i="1"/>
  <c r="B544" i="1"/>
  <c r="A544" i="1"/>
  <c r="M543" i="1"/>
  <c r="L543" i="1"/>
  <c r="K543" i="1"/>
  <c r="J543" i="1"/>
  <c r="G543" i="1"/>
  <c r="F543" i="1"/>
  <c r="E543" i="1"/>
  <c r="D543" i="1"/>
  <c r="C543" i="1"/>
  <c r="B543" i="1"/>
  <c r="A543" i="1"/>
  <c r="M542" i="1"/>
  <c r="L542" i="1"/>
  <c r="K542" i="1"/>
  <c r="J542" i="1"/>
  <c r="G542" i="1"/>
  <c r="F542" i="1"/>
  <c r="E542" i="1"/>
  <c r="D542" i="1"/>
  <c r="C542" i="1"/>
  <c r="B542" i="1"/>
  <c r="A542" i="1"/>
  <c r="M541" i="1"/>
  <c r="L541" i="1"/>
  <c r="K541" i="1"/>
  <c r="J541" i="1"/>
  <c r="G541" i="1"/>
  <c r="F541" i="1"/>
  <c r="E541" i="1"/>
  <c r="D541" i="1"/>
  <c r="C541" i="1"/>
  <c r="B541" i="1"/>
  <c r="A541" i="1"/>
  <c r="M540" i="1"/>
  <c r="L540" i="1"/>
  <c r="K540" i="1"/>
  <c r="J540" i="1"/>
  <c r="G540" i="1"/>
  <c r="F540" i="1"/>
  <c r="E540" i="1"/>
  <c r="D540" i="1"/>
  <c r="C540" i="1"/>
  <c r="B540" i="1"/>
  <c r="A540" i="1"/>
  <c r="M539" i="1"/>
  <c r="L539" i="1"/>
  <c r="K539" i="1"/>
  <c r="J539" i="1"/>
  <c r="G539" i="1"/>
  <c r="F539" i="1"/>
  <c r="E539" i="1"/>
  <c r="D539" i="1"/>
  <c r="C539" i="1"/>
  <c r="B539" i="1"/>
  <c r="A539" i="1"/>
  <c r="M538" i="1"/>
  <c r="L538" i="1"/>
  <c r="K538" i="1"/>
  <c r="J538" i="1"/>
  <c r="G538" i="1"/>
  <c r="F538" i="1"/>
  <c r="E538" i="1"/>
  <c r="D538" i="1"/>
  <c r="C538" i="1"/>
  <c r="B538" i="1"/>
  <c r="A538" i="1"/>
  <c r="M537" i="1"/>
  <c r="L537" i="1"/>
  <c r="K537" i="1"/>
  <c r="J537" i="1"/>
  <c r="G537" i="1"/>
  <c r="F537" i="1"/>
  <c r="E537" i="1"/>
  <c r="D537" i="1"/>
  <c r="C537" i="1"/>
  <c r="B537" i="1"/>
  <c r="A537" i="1"/>
  <c r="M536" i="1"/>
  <c r="L536" i="1"/>
  <c r="K536" i="1"/>
  <c r="J536" i="1"/>
  <c r="G536" i="1"/>
  <c r="F536" i="1"/>
  <c r="E536" i="1"/>
  <c r="D536" i="1"/>
  <c r="C536" i="1"/>
  <c r="B536" i="1"/>
  <c r="A536" i="1"/>
  <c r="M535" i="1"/>
  <c r="L535" i="1"/>
  <c r="K535" i="1"/>
  <c r="J535" i="1"/>
  <c r="G535" i="1"/>
  <c r="F535" i="1"/>
  <c r="E535" i="1"/>
  <c r="D535" i="1"/>
  <c r="C535" i="1"/>
  <c r="B535" i="1"/>
  <c r="A535" i="1"/>
  <c r="M534" i="1"/>
  <c r="L534" i="1"/>
  <c r="K534" i="1"/>
  <c r="J534" i="1"/>
  <c r="G534" i="1"/>
  <c r="F534" i="1"/>
  <c r="E534" i="1"/>
  <c r="D534" i="1"/>
  <c r="C534" i="1"/>
  <c r="B534" i="1"/>
  <c r="A534" i="1"/>
  <c r="M533" i="1"/>
  <c r="L533" i="1"/>
  <c r="K533" i="1"/>
  <c r="J533" i="1"/>
  <c r="G533" i="1"/>
  <c r="F533" i="1"/>
  <c r="E533" i="1"/>
  <c r="D533" i="1"/>
  <c r="C533" i="1"/>
  <c r="B533" i="1"/>
  <c r="A533" i="1"/>
  <c r="M532" i="1"/>
  <c r="L532" i="1"/>
  <c r="K532" i="1"/>
  <c r="J532" i="1"/>
  <c r="G532" i="1"/>
  <c r="F532" i="1"/>
  <c r="E532" i="1"/>
  <c r="D532" i="1"/>
  <c r="C532" i="1"/>
  <c r="B532" i="1"/>
  <c r="A532" i="1"/>
  <c r="L531" i="1"/>
  <c r="K531" i="1"/>
  <c r="J531" i="1"/>
  <c r="G531" i="1"/>
  <c r="F531" i="1"/>
  <c r="E531" i="1"/>
  <c r="D531" i="1"/>
  <c r="C531" i="1"/>
  <c r="B531" i="1"/>
  <c r="A531" i="1"/>
  <c r="M530" i="1"/>
  <c r="L529" i="1"/>
  <c r="K529" i="1"/>
  <c r="J529" i="1"/>
  <c r="I529" i="1"/>
  <c r="G529" i="1"/>
  <c r="F529" i="1"/>
  <c r="E529" i="1"/>
  <c r="D529" i="1"/>
  <c r="C529" i="1"/>
  <c r="B529" i="1"/>
  <c r="A529" i="1"/>
  <c r="M527" i="1"/>
  <c r="I527" i="1"/>
  <c r="H527" i="1"/>
  <c r="M526" i="1"/>
  <c r="L526" i="1"/>
  <c r="K526" i="1"/>
  <c r="J526" i="1"/>
  <c r="G526" i="1"/>
  <c r="F526" i="1"/>
  <c r="E526" i="1"/>
  <c r="D526" i="1"/>
  <c r="C526" i="1"/>
  <c r="B526" i="1"/>
  <c r="A526" i="1"/>
  <c r="L525" i="1"/>
  <c r="K525" i="1"/>
  <c r="J525" i="1"/>
  <c r="G525" i="1"/>
  <c r="F525" i="1"/>
  <c r="E525" i="1"/>
  <c r="D525" i="1"/>
  <c r="C525" i="1"/>
  <c r="B525" i="1"/>
  <c r="A525" i="1"/>
  <c r="M523" i="1"/>
  <c r="I523" i="1"/>
  <c r="H523" i="1"/>
  <c r="M522" i="1"/>
  <c r="L522" i="1"/>
  <c r="K522" i="1"/>
  <c r="J522" i="1"/>
  <c r="G522" i="1"/>
  <c r="F522" i="1"/>
  <c r="E522" i="1"/>
  <c r="D522" i="1"/>
  <c r="C522" i="1"/>
  <c r="B522" i="1"/>
  <c r="A522" i="1"/>
  <c r="M521" i="1"/>
  <c r="L521" i="1"/>
  <c r="K521" i="1"/>
  <c r="J521" i="1"/>
  <c r="G521" i="1"/>
  <c r="F521" i="1"/>
  <c r="E521" i="1"/>
  <c r="D521" i="1"/>
  <c r="C521" i="1"/>
  <c r="B521" i="1"/>
  <c r="A521" i="1"/>
  <c r="M520" i="1"/>
  <c r="L520" i="1"/>
  <c r="K520" i="1"/>
  <c r="J520" i="1"/>
  <c r="G520" i="1"/>
  <c r="F520" i="1"/>
  <c r="E520" i="1"/>
  <c r="D520" i="1"/>
  <c r="C520" i="1"/>
  <c r="B520" i="1"/>
  <c r="A520" i="1"/>
  <c r="M519" i="1"/>
  <c r="L519" i="1"/>
  <c r="K519" i="1"/>
  <c r="J519" i="1"/>
  <c r="G519" i="1"/>
  <c r="F519" i="1"/>
  <c r="E519" i="1"/>
  <c r="D519" i="1"/>
  <c r="C519" i="1"/>
  <c r="B519" i="1"/>
  <c r="A519" i="1"/>
  <c r="M518" i="1"/>
  <c r="L518" i="1"/>
  <c r="K518" i="1"/>
  <c r="J518" i="1"/>
  <c r="G518" i="1"/>
  <c r="F518" i="1"/>
  <c r="E518" i="1"/>
  <c r="D518" i="1"/>
  <c r="C518" i="1"/>
  <c r="B518" i="1"/>
  <c r="A518" i="1"/>
  <c r="M517" i="1"/>
  <c r="L517" i="1"/>
  <c r="K517" i="1"/>
  <c r="J517" i="1"/>
  <c r="G517" i="1"/>
  <c r="F517" i="1"/>
  <c r="E517" i="1"/>
  <c r="D517" i="1"/>
  <c r="C517" i="1"/>
  <c r="B517" i="1"/>
  <c r="A517" i="1"/>
  <c r="M516" i="1"/>
  <c r="L516" i="1"/>
  <c r="K516" i="1"/>
  <c r="J516" i="1"/>
  <c r="G516" i="1"/>
  <c r="F516" i="1"/>
  <c r="E516" i="1"/>
  <c r="D516" i="1"/>
  <c r="C516" i="1"/>
  <c r="B516" i="1"/>
  <c r="A516" i="1"/>
  <c r="M515" i="1"/>
  <c r="L515" i="1"/>
  <c r="K515" i="1"/>
  <c r="J515" i="1"/>
  <c r="G515" i="1"/>
  <c r="F515" i="1"/>
  <c r="E515" i="1"/>
  <c r="D515" i="1"/>
  <c r="C515" i="1"/>
  <c r="B515" i="1"/>
  <c r="A515" i="1"/>
  <c r="M514" i="1"/>
  <c r="L514" i="1"/>
  <c r="K514" i="1"/>
  <c r="J514" i="1"/>
  <c r="G514" i="1"/>
  <c r="F514" i="1"/>
  <c r="E514" i="1"/>
  <c r="D514" i="1"/>
  <c r="C514" i="1"/>
  <c r="B514" i="1"/>
  <c r="A514" i="1"/>
  <c r="M513" i="1"/>
  <c r="L513" i="1"/>
  <c r="K513" i="1"/>
  <c r="J513" i="1"/>
  <c r="G513" i="1"/>
  <c r="F513" i="1"/>
  <c r="E513" i="1"/>
  <c r="D513" i="1"/>
  <c r="C513" i="1"/>
  <c r="B513" i="1"/>
  <c r="A513" i="1"/>
  <c r="M512" i="1"/>
  <c r="L512" i="1"/>
  <c r="K512" i="1"/>
  <c r="J512" i="1"/>
  <c r="G512" i="1"/>
  <c r="F512" i="1"/>
  <c r="E512" i="1"/>
  <c r="D512" i="1"/>
  <c r="C512" i="1"/>
  <c r="B512" i="1"/>
  <c r="A512" i="1"/>
  <c r="M511" i="1"/>
  <c r="L511" i="1"/>
  <c r="K511" i="1"/>
  <c r="J511" i="1"/>
  <c r="G511" i="1"/>
  <c r="F511" i="1"/>
  <c r="E511" i="1"/>
  <c r="D511" i="1"/>
  <c r="C511" i="1"/>
  <c r="B511" i="1"/>
  <c r="A511" i="1"/>
  <c r="M510" i="1"/>
  <c r="L510" i="1"/>
  <c r="K510" i="1"/>
  <c r="J510" i="1"/>
  <c r="G510" i="1"/>
  <c r="F510" i="1"/>
  <c r="E510" i="1"/>
  <c r="D510" i="1"/>
  <c r="C510" i="1"/>
  <c r="B510" i="1"/>
  <c r="A510" i="1"/>
  <c r="M509" i="1"/>
  <c r="L509" i="1"/>
  <c r="K509" i="1"/>
  <c r="J509" i="1"/>
  <c r="G509" i="1"/>
  <c r="F509" i="1"/>
  <c r="E509" i="1"/>
  <c r="D509" i="1"/>
  <c r="C509" i="1"/>
  <c r="B509" i="1"/>
  <c r="A509" i="1"/>
  <c r="M508" i="1"/>
  <c r="L508" i="1"/>
  <c r="K508" i="1"/>
  <c r="J508" i="1"/>
  <c r="G508" i="1"/>
  <c r="F508" i="1"/>
  <c r="E508" i="1"/>
  <c r="D508" i="1"/>
  <c r="C508" i="1"/>
  <c r="B508" i="1"/>
  <c r="A508" i="1"/>
  <c r="M507" i="1"/>
  <c r="L507" i="1"/>
  <c r="K507" i="1"/>
  <c r="J507" i="1"/>
  <c r="G507" i="1"/>
  <c r="F507" i="1"/>
  <c r="E507" i="1"/>
  <c r="D507" i="1"/>
  <c r="C507" i="1"/>
  <c r="B507" i="1"/>
  <c r="A507" i="1"/>
  <c r="M506" i="1"/>
  <c r="L506" i="1"/>
  <c r="K506" i="1"/>
  <c r="J506" i="1"/>
  <c r="G506" i="1"/>
  <c r="F506" i="1"/>
  <c r="E506" i="1"/>
  <c r="D506" i="1"/>
  <c r="C506" i="1"/>
  <c r="B506" i="1"/>
  <c r="A506" i="1"/>
  <c r="M505" i="1"/>
  <c r="L505" i="1"/>
  <c r="K505" i="1"/>
  <c r="J505" i="1"/>
  <c r="G505" i="1"/>
  <c r="F505" i="1"/>
  <c r="E505" i="1"/>
  <c r="D505" i="1"/>
  <c r="C505" i="1"/>
  <c r="B505" i="1"/>
  <c r="A505" i="1"/>
  <c r="M504" i="1"/>
  <c r="L504" i="1"/>
  <c r="K504" i="1"/>
  <c r="J504" i="1"/>
  <c r="G504" i="1"/>
  <c r="F504" i="1"/>
  <c r="E504" i="1"/>
  <c r="D504" i="1"/>
  <c r="C504" i="1"/>
  <c r="B504" i="1"/>
  <c r="A504" i="1"/>
  <c r="M503" i="1"/>
  <c r="L503" i="1"/>
  <c r="K503" i="1"/>
  <c r="J503" i="1"/>
  <c r="G503" i="1"/>
  <c r="F503" i="1"/>
  <c r="E503" i="1"/>
  <c r="D503" i="1"/>
  <c r="C503" i="1"/>
  <c r="B503" i="1"/>
  <c r="A503" i="1"/>
  <c r="M502" i="1"/>
  <c r="L502" i="1"/>
  <c r="K502" i="1"/>
  <c r="J502" i="1"/>
  <c r="G502" i="1"/>
  <c r="F502" i="1"/>
  <c r="E502" i="1"/>
  <c r="D502" i="1"/>
  <c r="C502" i="1"/>
  <c r="B502" i="1"/>
  <c r="A502" i="1"/>
  <c r="M501" i="1"/>
  <c r="L501" i="1"/>
  <c r="K501" i="1"/>
  <c r="J501" i="1"/>
  <c r="G501" i="1"/>
  <c r="F501" i="1"/>
  <c r="E501" i="1"/>
  <c r="D501" i="1"/>
  <c r="C501" i="1"/>
  <c r="B501" i="1"/>
  <c r="A501" i="1"/>
  <c r="M500" i="1"/>
  <c r="L500" i="1"/>
  <c r="K500" i="1"/>
  <c r="J500" i="1"/>
  <c r="G500" i="1"/>
  <c r="F500" i="1"/>
  <c r="E500" i="1"/>
  <c r="D500" i="1"/>
  <c r="C500" i="1"/>
  <c r="B500" i="1"/>
  <c r="A500" i="1"/>
  <c r="M499" i="1"/>
  <c r="L499" i="1"/>
  <c r="K499" i="1"/>
  <c r="J499" i="1"/>
  <c r="G499" i="1"/>
  <c r="F499" i="1"/>
  <c r="E499" i="1"/>
  <c r="D499" i="1"/>
  <c r="C499" i="1"/>
  <c r="B499" i="1"/>
  <c r="A499" i="1"/>
  <c r="M498" i="1"/>
  <c r="L498" i="1"/>
  <c r="K498" i="1"/>
  <c r="J498" i="1"/>
  <c r="G498" i="1"/>
  <c r="F498" i="1"/>
  <c r="E498" i="1"/>
  <c r="D498" i="1"/>
  <c r="C498" i="1"/>
  <c r="B498" i="1"/>
  <c r="A498" i="1"/>
  <c r="M497" i="1"/>
  <c r="L497" i="1"/>
  <c r="K497" i="1"/>
  <c r="J497" i="1"/>
  <c r="G497" i="1"/>
  <c r="F497" i="1"/>
  <c r="E497" i="1"/>
  <c r="D497" i="1"/>
  <c r="C497" i="1"/>
  <c r="B497" i="1"/>
  <c r="A497" i="1"/>
  <c r="M496" i="1"/>
  <c r="L496" i="1"/>
  <c r="K496" i="1"/>
  <c r="J496" i="1"/>
  <c r="G496" i="1"/>
  <c r="F496" i="1"/>
  <c r="E496" i="1"/>
  <c r="D496" i="1"/>
  <c r="C496" i="1"/>
  <c r="B496" i="1"/>
  <c r="A496" i="1"/>
  <c r="M495" i="1"/>
  <c r="L495" i="1"/>
  <c r="K495" i="1"/>
  <c r="J495" i="1"/>
  <c r="G495" i="1"/>
  <c r="F495" i="1"/>
  <c r="E495" i="1"/>
  <c r="D495" i="1"/>
  <c r="C495" i="1"/>
  <c r="B495" i="1"/>
  <c r="A495" i="1"/>
  <c r="M494" i="1"/>
  <c r="L494" i="1"/>
  <c r="K494" i="1"/>
  <c r="J494" i="1"/>
  <c r="G494" i="1"/>
  <c r="F494" i="1"/>
  <c r="E494" i="1"/>
  <c r="D494" i="1"/>
  <c r="C494" i="1"/>
  <c r="B494" i="1"/>
  <c r="A494" i="1"/>
  <c r="M493" i="1"/>
  <c r="L493" i="1"/>
  <c r="K493" i="1"/>
  <c r="J493" i="1"/>
  <c r="G493" i="1"/>
  <c r="F493" i="1"/>
  <c r="E493" i="1"/>
  <c r="D493" i="1"/>
  <c r="C493" i="1"/>
  <c r="B493" i="1"/>
  <c r="A493" i="1"/>
  <c r="M492" i="1"/>
  <c r="L492" i="1"/>
  <c r="K492" i="1"/>
  <c r="J492" i="1"/>
  <c r="G492" i="1"/>
  <c r="F492" i="1"/>
  <c r="E492" i="1"/>
  <c r="D492" i="1"/>
  <c r="C492" i="1"/>
  <c r="B492" i="1"/>
  <c r="A492" i="1"/>
  <c r="M491" i="1"/>
  <c r="L491" i="1"/>
  <c r="K491" i="1"/>
  <c r="J491" i="1"/>
  <c r="G491" i="1"/>
  <c r="F491" i="1"/>
  <c r="E491" i="1"/>
  <c r="D491" i="1"/>
  <c r="C491" i="1"/>
  <c r="B491" i="1"/>
  <c r="A491" i="1"/>
  <c r="M490" i="1"/>
  <c r="L490" i="1"/>
  <c r="K490" i="1"/>
  <c r="J490" i="1"/>
  <c r="G490" i="1"/>
  <c r="F490" i="1"/>
  <c r="E490" i="1"/>
  <c r="D490" i="1"/>
  <c r="C490" i="1"/>
  <c r="B490" i="1"/>
  <c r="A490" i="1"/>
  <c r="M489" i="1"/>
  <c r="L489" i="1"/>
  <c r="K489" i="1"/>
  <c r="J489" i="1"/>
  <c r="G489" i="1"/>
  <c r="F489" i="1"/>
  <c r="E489" i="1"/>
  <c r="D489" i="1"/>
  <c r="C489" i="1"/>
  <c r="B489" i="1"/>
  <c r="A489" i="1"/>
  <c r="M488" i="1"/>
  <c r="L488" i="1"/>
  <c r="K488" i="1"/>
  <c r="J488" i="1"/>
  <c r="G488" i="1"/>
  <c r="F488" i="1"/>
  <c r="E488" i="1"/>
  <c r="D488" i="1"/>
  <c r="C488" i="1"/>
  <c r="B488" i="1"/>
  <c r="A488" i="1"/>
  <c r="M487" i="1"/>
  <c r="L487" i="1"/>
  <c r="K487" i="1"/>
  <c r="J487" i="1"/>
  <c r="G487" i="1"/>
  <c r="F487" i="1"/>
  <c r="E487" i="1"/>
  <c r="D487" i="1"/>
  <c r="C487" i="1"/>
  <c r="B487" i="1"/>
  <c r="A487" i="1"/>
  <c r="M486" i="1"/>
  <c r="L486" i="1"/>
  <c r="K486" i="1"/>
  <c r="J486" i="1"/>
  <c r="G486" i="1"/>
  <c r="F486" i="1"/>
  <c r="E486" i="1"/>
  <c r="D486" i="1"/>
  <c r="C486" i="1"/>
  <c r="B486" i="1"/>
  <c r="A486" i="1"/>
  <c r="M485" i="1"/>
  <c r="L485" i="1"/>
  <c r="K485" i="1"/>
  <c r="J485" i="1"/>
  <c r="G485" i="1"/>
  <c r="F485" i="1"/>
  <c r="E485" i="1"/>
  <c r="D485" i="1"/>
  <c r="C485" i="1"/>
  <c r="B485" i="1"/>
  <c r="A485" i="1"/>
  <c r="M484" i="1"/>
  <c r="L484" i="1"/>
  <c r="K484" i="1"/>
  <c r="J484" i="1"/>
  <c r="G484" i="1"/>
  <c r="F484" i="1"/>
  <c r="E484" i="1"/>
  <c r="D484" i="1"/>
  <c r="C484" i="1"/>
  <c r="B484" i="1"/>
  <c r="A484" i="1"/>
  <c r="I482" i="1"/>
  <c r="H482" i="1"/>
  <c r="M481" i="1"/>
  <c r="L481" i="1"/>
  <c r="K481" i="1"/>
  <c r="J481" i="1"/>
  <c r="G481" i="1"/>
  <c r="F481" i="1"/>
  <c r="E481" i="1"/>
  <c r="D481" i="1"/>
  <c r="C481" i="1"/>
  <c r="B481" i="1"/>
  <c r="A481" i="1"/>
  <c r="M480" i="1"/>
  <c r="L480" i="1"/>
  <c r="K480" i="1"/>
  <c r="J480" i="1"/>
  <c r="G480" i="1"/>
  <c r="F480" i="1"/>
  <c r="E480" i="1"/>
  <c r="D480" i="1"/>
  <c r="C480" i="1"/>
  <c r="B480" i="1"/>
  <c r="A480" i="1"/>
  <c r="M479" i="1"/>
  <c r="L479" i="1"/>
  <c r="K479" i="1"/>
  <c r="J479" i="1"/>
  <c r="G479" i="1"/>
  <c r="F479" i="1"/>
  <c r="E479" i="1"/>
  <c r="D479" i="1"/>
  <c r="C479" i="1"/>
  <c r="B479" i="1"/>
  <c r="A479" i="1"/>
  <c r="M478" i="1"/>
  <c r="L478" i="1"/>
  <c r="K478" i="1"/>
  <c r="J478" i="1"/>
  <c r="G478" i="1"/>
  <c r="F478" i="1"/>
  <c r="E478" i="1"/>
  <c r="D478" i="1"/>
  <c r="C478" i="1"/>
  <c r="B478" i="1"/>
  <c r="A478" i="1"/>
  <c r="M477" i="1"/>
  <c r="L477" i="1"/>
  <c r="K477" i="1"/>
  <c r="J477" i="1"/>
  <c r="G477" i="1"/>
  <c r="F477" i="1"/>
  <c r="E477" i="1"/>
  <c r="D477" i="1"/>
  <c r="C477" i="1"/>
  <c r="B477" i="1"/>
  <c r="A477" i="1"/>
  <c r="M476" i="1"/>
  <c r="L476" i="1"/>
  <c r="K476" i="1"/>
  <c r="J476" i="1"/>
  <c r="G476" i="1"/>
  <c r="F476" i="1"/>
  <c r="E476" i="1"/>
  <c r="D476" i="1"/>
  <c r="C476" i="1"/>
  <c r="B476" i="1"/>
  <c r="A476" i="1"/>
  <c r="M475" i="1"/>
  <c r="L475" i="1"/>
  <c r="K475" i="1"/>
  <c r="J475" i="1"/>
  <c r="G475" i="1"/>
  <c r="F475" i="1"/>
  <c r="E475" i="1"/>
  <c r="D475" i="1"/>
  <c r="C475" i="1"/>
  <c r="B475" i="1"/>
  <c r="A475" i="1"/>
  <c r="M474" i="1"/>
  <c r="L474" i="1"/>
  <c r="K474" i="1"/>
  <c r="J474" i="1"/>
  <c r="G474" i="1"/>
  <c r="F474" i="1"/>
  <c r="E474" i="1"/>
  <c r="D474" i="1"/>
  <c r="C474" i="1"/>
  <c r="B474" i="1"/>
  <c r="A474" i="1"/>
  <c r="M473" i="1"/>
  <c r="L473" i="1"/>
  <c r="K473" i="1"/>
  <c r="J473" i="1"/>
  <c r="G473" i="1"/>
  <c r="F473" i="1"/>
  <c r="E473" i="1"/>
  <c r="D473" i="1"/>
  <c r="C473" i="1"/>
  <c r="B473" i="1"/>
  <c r="A473" i="1"/>
  <c r="M472" i="1"/>
  <c r="L472" i="1"/>
  <c r="K472" i="1"/>
  <c r="J472" i="1"/>
  <c r="G472" i="1"/>
  <c r="F472" i="1"/>
  <c r="E472" i="1"/>
  <c r="D472" i="1"/>
  <c r="C472" i="1"/>
  <c r="B472" i="1"/>
  <c r="A472" i="1"/>
  <c r="M471" i="1"/>
  <c r="L471" i="1"/>
  <c r="K471" i="1"/>
  <c r="J471" i="1"/>
  <c r="G471" i="1"/>
  <c r="F471" i="1"/>
  <c r="E471" i="1"/>
  <c r="D471" i="1"/>
  <c r="C471" i="1"/>
  <c r="B471" i="1"/>
  <c r="A471" i="1"/>
  <c r="M470" i="1"/>
  <c r="L470" i="1"/>
  <c r="K470" i="1"/>
  <c r="J470" i="1"/>
  <c r="G470" i="1"/>
  <c r="F470" i="1"/>
  <c r="E470" i="1"/>
  <c r="D470" i="1"/>
  <c r="C470" i="1"/>
  <c r="B470" i="1"/>
  <c r="A470" i="1"/>
  <c r="M469" i="1"/>
  <c r="L469" i="1"/>
  <c r="K469" i="1"/>
  <c r="J469" i="1"/>
  <c r="G469" i="1"/>
  <c r="F469" i="1"/>
  <c r="E469" i="1"/>
  <c r="D469" i="1"/>
  <c r="C469" i="1"/>
  <c r="B469" i="1"/>
  <c r="A469" i="1"/>
  <c r="M468" i="1"/>
  <c r="L468" i="1"/>
  <c r="K468" i="1"/>
  <c r="J468" i="1"/>
  <c r="G468" i="1"/>
  <c r="F468" i="1"/>
  <c r="E468" i="1"/>
  <c r="D468" i="1"/>
  <c r="C468" i="1"/>
  <c r="B468" i="1"/>
  <c r="A468" i="1"/>
  <c r="M467" i="1"/>
  <c r="L467" i="1"/>
  <c r="K467" i="1"/>
  <c r="J467" i="1"/>
  <c r="G467" i="1"/>
  <c r="F467" i="1"/>
  <c r="E467" i="1"/>
  <c r="D467" i="1"/>
  <c r="C467" i="1"/>
  <c r="B467" i="1"/>
  <c r="A467" i="1"/>
  <c r="M466" i="1"/>
  <c r="L466" i="1"/>
  <c r="K466" i="1"/>
  <c r="J466" i="1"/>
  <c r="G466" i="1"/>
  <c r="F466" i="1"/>
  <c r="E466" i="1"/>
  <c r="D466" i="1"/>
  <c r="C466" i="1"/>
  <c r="B466" i="1"/>
  <c r="A466" i="1"/>
  <c r="M465" i="1"/>
  <c r="L465" i="1"/>
  <c r="K465" i="1"/>
  <c r="J465" i="1"/>
  <c r="G465" i="1"/>
  <c r="F465" i="1"/>
  <c r="E465" i="1"/>
  <c r="D465" i="1"/>
  <c r="C465" i="1"/>
  <c r="B465" i="1"/>
  <c r="A465" i="1"/>
  <c r="M464" i="1"/>
  <c r="L464" i="1"/>
  <c r="K464" i="1"/>
  <c r="J464" i="1"/>
  <c r="G464" i="1"/>
  <c r="F464" i="1"/>
  <c r="E464" i="1"/>
  <c r="D464" i="1"/>
  <c r="C464" i="1"/>
  <c r="B464" i="1"/>
  <c r="A464" i="1"/>
  <c r="M463" i="1"/>
  <c r="L463" i="1"/>
  <c r="K463" i="1"/>
  <c r="J463" i="1"/>
  <c r="G463" i="1"/>
  <c r="F463" i="1"/>
  <c r="E463" i="1"/>
  <c r="D463" i="1"/>
  <c r="C463" i="1"/>
  <c r="B463" i="1"/>
  <c r="A463" i="1"/>
  <c r="M462" i="1"/>
  <c r="L462" i="1"/>
  <c r="K462" i="1"/>
  <c r="J462" i="1"/>
  <c r="G462" i="1"/>
  <c r="F462" i="1"/>
  <c r="E462" i="1"/>
  <c r="D462" i="1"/>
  <c r="C462" i="1"/>
  <c r="B462" i="1"/>
  <c r="A462" i="1"/>
  <c r="M461" i="1"/>
  <c r="L461" i="1"/>
  <c r="K461" i="1"/>
  <c r="J461" i="1"/>
  <c r="G461" i="1"/>
  <c r="F461" i="1"/>
  <c r="E461" i="1"/>
  <c r="D461" i="1"/>
  <c r="C461" i="1"/>
  <c r="B461" i="1"/>
  <c r="A461" i="1"/>
  <c r="M460" i="1"/>
  <c r="L460" i="1"/>
  <c r="K460" i="1"/>
  <c r="J460" i="1"/>
  <c r="G460" i="1"/>
  <c r="F460" i="1"/>
  <c r="E460" i="1"/>
  <c r="D460" i="1"/>
  <c r="C460" i="1"/>
  <c r="B460" i="1"/>
  <c r="A460" i="1"/>
  <c r="M459" i="1"/>
  <c r="L459" i="1"/>
  <c r="K459" i="1"/>
  <c r="J459" i="1"/>
  <c r="G459" i="1"/>
  <c r="F459" i="1"/>
  <c r="E459" i="1"/>
  <c r="D459" i="1"/>
  <c r="C459" i="1"/>
  <c r="B459" i="1"/>
  <c r="A459" i="1"/>
  <c r="M458" i="1"/>
  <c r="L458" i="1"/>
  <c r="K458" i="1"/>
  <c r="J458" i="1"/>
  <c r="G458" i="1"/>
  <c r="F458" i="1"/>
  <c r="E458" i="1"/>
  <c r="D458" i="1"/>
  <c r="C458" i="1"/>
  <c r="B458" i="1"/>
  <c r="A458" i="1"/>
  <c r="L457" i="1"/>
  <c r="K457" i="1"/>
  <c r="J457" i="1"/>
  <c r="G457" i="1"/>
  <c r="F457" i="1"/>
  <c r="E457" i="1"/>
  <c r="D457" i="1"/>
  <c r="C457" i="1"/>
  <c r="B457" i="1"/>
  <c r="A457" i="1"/>
  <c r="M455" i="1"/>
  <c r="I455" i="1"/>
  <c r="H455" i="1"/>
  <c r="M454" i="1"/>
  <c r="L454" i="1"/>
  <c r="K454" i="1"/>
  <c r="J454" i="1"/>
  <c r="G454" i="1"/>
  <c r="F454" i="1"/>
  <c r="E454" i="1"/>
  <c r="D454" i="1"/>
  <c r="C454" i="1"/>
  <c r="B454" i="1"/>
  <c r="A454" i="1"/>
  <c r="L453" i="1"/>
  <c r="K453" i="1"/>
  <c r="J453" i="1"/>
  <c r="G453" i="1"/>
  <c r="F453" i="1"/>
  <c r="E453" i="1"/>
  <c r="D453" i="1"/>
  <c r="C453" i="1"/>
  <c r="B453" i="1"/>
  <c r="A453" i="1"/>
  <c r="M451" i="1"/>
  <c r="I451" i="1"/>
  <c r="H451" i="1"/>
  <c r="M450" i="1"/>
  <c r="L450" i="1"/>
  <c r="K450" i="1"/>
  <c r="J450" i="1"/>
  <c r="G450" i="1"/>
  <c r="F450" i="1"/>
  <c r="E450" i="1"/>
  <c r="D450" i="1"/>
  <c r="C450" i="1"/>
  <c r="B450" i="1"/>
  <c r="A450" i="1"/>
  <c r="L449" i="1"/>
  <c r="K449" i="1"/>
  <c r="J449" i="1"/>
  <c r="G449" i="1"/>
  <c r="F449" i="1"/>
  <c r="E449" i="1"/>
  <c r="D449" i="1"/>
  <c r="C449" i="1"/>
  <c r="B449" i="1"/>
  <c r="A449" i="1"/>
  <c r="M448" i="1"/>
  <c r="L447" i="1"/>
  <c r="K447" i="1"/>
  <c r="J447" i="1"/>
  <c r="I447" i="1"/>
  <c r="G447" i="1"/>
  <c r="F447" i="1"/>
  <c r="E447" i="1"/>
  <c r="D447" i="1"/>
  <c r="C447" i="1"/>
  <c r="B447" i="1"/>
  <c r="A447" i="1"/>
  <c r="M445" i="1"/>
  <c r="I445" i="1"/>
  <c r="H445" i="1"/>
  <c r="M444" i="1"/>
  <c r="L444" i="1"/>
  <c r="K444" i="1"/>
  <c r="J444" i="1"/>
  <c r="G444" i="1"/>
  <c r="F444" i="1"/>
  <c r="E444" i="1"/>
  <c r="D444" i="1"/>
  <c r="C444" i="1"/>
  <c r="B444" i="1"/>
  <c r="A444" i="1"/>
  <c r="L443" i="1"/>
  <c r="K443" i="1"/>
  <c r="J443" i="1"/>
  <c r="G443" i="1"/>
  <c r="F443" i="1"/>
  <c r="E443" i="1"/>
  <c r="D443" i="1"/>
  <c r="C443" i="1"/>
  <c r="B443" i="1"/>
  <c r="A443" i="1"/>
  <c r="M441" i="1"/>
  <c r="I441" i="1"/>
  <c r="H441" i="1"/>
  <c r="M440" i="1"/>
  <c r="L440" i="1"/>
  <c r="K440" i="1"/>
  <c r="J440" i="1"/>
  <c r="G440" i="1"/>
  <c r="F440" i="1"/>
  <c r="E440" i="1"/>
  <c r="D440" i="1"/>
  <c r="C440" i="1"/>
  <c r="B440" i="1"/>
  <c r="A440" i="1"/>
  <c r="M439" i="1"/>
  <c r="L439" i="1"/>
  <c r="K439" i="1"/>
  <c r="J439" i="1"/>
  <c r="G439" i="1"/>
  <c r="F439" i="1"/>
  <c r="E439" i="1"/>
  <c r="D439" i="1"/>
  <c r="C439" i="1"/>
  <c r="B439" i="1"/>
  <c r="A439" i="1"/>
  <c r="M438" i="1"/>
  <c r="L438" i="1"/>
  <c r="K438" i="1"/>
  <c r="J438" i="1"/>
  <c r="G438" i="1"/>
  <c r="F438" i="1"/>
  <c r="E438" i="1"/>
  <c r="D438" i="1"/>
  <c r="C438" i="1"/>
  <c r="B438" i="1"/>
  <c r="A438" i="1"/>
  <c r="M437" i="1"/>
  <c r="L437" i="1"/>
  <c r="K437" i="1"/>
  <c r="J437" i="1"/>
  <c r="G437" i="1"/>
  <c r="F437" i="1"/>
  <c r="E437" i="1"/>
  <c r="D437" i="1"/>
  <c r="C437" i="1"/>
  <c r="B437" i="1"/>
  <c r="A437" i="1"/>
  <c r="M436" i="1"/>
  <c r="L436" i="1"/>
  <c r="K436" i="1"/>
  <c r="J436" i="1"/>
  <c r="G436" i="1"/>
  <c r="F436" i="1"/>
  <c r="E436" i="1"/>
  <c r="D436" i="1"/>
  <c r="C436" i="1"/>
  <c r="B436" i="1"/>
  <c r="A436" i="1"/>
  <c r="M435" i="1"/>
  <c r="L435" i="1"/>
  <c r="K435" i="1"/>
  <c r="J435" i="1"/>
  <c r="G435" i="1"/>
  <c r="F435" i="1"/>
  <c r="E435" i="1"/>
  <c r="D435" i="1"/>
  <c r="C435" i="1"/>
  <c r="B435" i="1"/>
  <c r="A435" i="1"/>
  <c r="M434" i="1"/>
  <c r="L434" i="1"/>
  <c r="K434" i="1"/>
  <c r="J434" i="1"/>
  <c r="G434" i="1"/>
  <c r="F434" i="1"/>
  <c r="E434" i="1"/>
  <c r="D434" i="1"/>
  <c r="C434" i="1"/>
  <c r="B434" i="1"/>
  <c r="A434" i="1"/>
  <c r="M433" i="1"/>
  <c r="L433" i="1"/>
  <c r="K433" i="1"/>
  <c r="J433" i="1"/>
  <c r="G433" i="1"/>
  <c r="F433" i="1"/>
  <c r="E433" i="1"/>
  <c r="D433" i="1"/>
  <c r="C433" i="1"/>
  <c r="B433" i="1"/>
  <c r="A433" i="1"/>
  <c r="M432" i="1"/>
  <c r="L432" i="1"/>
  <c r="K432" i="1"/>
  <c r="J432" i="1"/>
  <c r="G432" i="1"/>
  <c r="F432" i="1"/>
  <c r="E432" i="1"/>
  <c r="D432" i="1"/>
  <c r="C432" i="1"/>
  <c r="B432" i="1"/>
  <c r="A432" i="1"/>
  <c r="M431" i="1"/>
  <c r="L431" i="1"/>
  <c r="K431" i="1"/>
  <c r="J431" i="1"/>
  <c r="G431" i="1"/>
  <c r="F431" i="1"/>
  <c r="E431" i="1"/>
  <c r="D431" i="1"/>
  <c r="C431" i="1"/>
  <c r="B431" i="1"/>
  <c r="A431" i="1"/>
  <c r="M430" i="1"/>
  <c r="L430" i="1"/>
  <c r="K430" i="1"/>
  <c r="J430" i="1"/>
  <c r="G430" i="1"/>
  <c r="F430" i="1"/>
  <c r="E430" i="1"/>
  <c r="D430" i="1"/>
  <c r="C430" i="1"/>
  <c r="B430" i="1"/>
  <c r="A430" i="1"/>
  <c r="M429" i="1"/>
  <c r="L429" i="1"/>
  <c r="K429" i="1"/>
  <c r="J429" i="1"/>
  <c r="G429" i="1"/>
  <c r="F429" i="1"/>
  <c r="E429" i="1"/>
  <c r="D429" i="1"/>
  <c r="C429" i="1"/>
  <c r="B429" i="1"/>
  <c r="A429" i="1"/>
  <c r="L428" i="1"/>
  <c r="K428" i="1"/>
  <c r="J428" i="1"/>
  <c r="G428" i="1"/>
  <c r="F428" i="1"/>
  <c r="E428" i="1"/>
  <c r="D428" i="1"/>
  <c r="C428" i="1"/>
  <c r="B428" i="1"/>
  <c r="A428" i="1"/>
  <c r="M427" i="1"/>
  <c r="L426" i="1"/>
  <c r="K426" i="1"/>
  <c r="J426" i="1"/>
  <c r="I426" i="1"/>
  <c r="G426" i="1"/>
  <c r="F426" i="1"/>
  <c r="E426" i="1"/>
  <c r="D426" i="1"/>
  <c r="C426" i="1"/>
  <c r="B426" i="1"/>
  <c r="A426" i="1"/>
  <c r="M424" i="1"/>
  <c r="I424" i="1"/>
  <c r="H424" i="1"/>
  <c r="M423" i="1"/>
  <c r="L423" i="1"/>
  <c r="K423" i="1"/>
  <c r="J423" i="1"/>
  <c r="G423" i="1"/>
  <c r="F423" i="1"/>
  <c r="E423" i="1"/>
  <c r="D423" i="1"/>
  <c r="C423" i="1"/>
  <c r="B423" i="1"/>
  <c r="A423" i="1"/>
  <c r="M422" i="1"/>
  <c r="L422" i="1"/>
  <c r="K422" i="1"/>
  <c r="J422" i="1"/>
  <c r="G422" i="1"/>
  <c r="F422" i="1"/>
  <c r="E422" i="1"/>
  <c r="D422" i="1"/>
  <c r="C422" i="1"/>
  <c r="B422" i="1"/>
  <c r="A422" i="1"/>
  <c r="M421" i="1"/>
  <c r="L421" i="1"/>
  <c r="K421" i="1"/>
  <c r="J421" i="1"/>
  <c r="G421" i="1"/>
  <c r="F421" i="1"/>
  <c r="E421" i="1"/>
  <c r="D421" i="1"/>
  <c r="C421" i="1"/>
  <c r="B421" i="1"/>
  <c r="A421" i="1"/>
  <c r="M420" i="1"/>
  <c r="L420" i="1"/>
  <c r="K420" i="1"/>
  <c r="J420" i="1"/>
  <c r="G420" i="1"/>
  <c r="F420" i="1"/>
  <c r="E420" i="1"/>
  <c r="D420" i="1"/>
  <c r="C420" i="1"/>
  <c r="B420" i="1"/>
  <c r="A420" i="1"/>
  <c r="M419" i="1"/>
  <c r="L419" i="1"/>
  <c r="K419" i="1"/>
  <c r="J419" i="1"/>
  <c r="G419" i="1"/>
  <c r="F419" i="1"/>
  <c r="E419" i="1"/>
  <c r="D419" i="1"/>
  <c r="C419" i="1"/>
  <c r="B419" i="1"/>
  <c r="A419" i="1"/>
  <c r="M418" i="1"/>
  <c r="L418" i="1"/>
  <c r="K418" i="1"/>
  <c r="J418" i="1"/>
  <c r="G418" i="1"/>
  <c r="F418" i="1"/>
  <c r="E418" i="1"/>
  <c r="D418" i="1"/>
  <c r="C418" i="1"/>
  <c r="B418" i="1"/>
  <c r="A418" i="1"/>
  <c r="L417" i="1"/>
  <c r="K417" i="1"/>
  <c r="J417" i="1"/>
  <c r="G417" i="1"/>
  <c r="F417" i="1"/>
  <c r="E417" i="1"/>
  <c r="D417" i="1"/>
  <c r="C417" i="1"/>
  <c r="B417" i="1"/>
  <c r="A417" i="1"/>
  <c r="M415" i="1"/>
  <c r="I415" i="1"/>
  <c r="H415" i="1"/>
  <c r="M414" i="1"/>
  <c r="L414" i="1"/>
  <c r="K414" i="1"/>
  <c r="J414" i="1"/>
  <c r="G414" i="1"/>
  <c r="F414" i="1"/>
  <c r="E414" i="1"/>
  <c r="D414" i="1"/>
  <c r="C414" i="1"/>
  <c r="B414" i="1"/>
  <c r="A414" i="1"/>
  <c r="M413" i="1"/>
  <c r="L413" i="1"/>
  <c r="K413" i="1"/>
  <c r="J413" i="1"/>
  <c r="G413" i="1"/>
  <c r="F413" i="1"/>
  <c r="E413" i="1"/>
  <c r="D413" i="1"/>
  <c r="C413" i="1"/>
  <c r="B413" i="1"/>
  <c r="A413" i="1"/>
  <c r="M412" i="1"/>
  <c r="L412" i="1"/>
  <c r="K412" i="1"/>
  <c r="J412" i="1"/>
  <c r="G412" i="1"/>
  <c r="F412" i="1"/>
  <c r="E412" i="1"/>
  <c r="D412" i="1"/>
  <c r="C412" i="1"/>
  <c r="B412" i="1"/>
  <c r="A412" i="1"/>
  <c r="M411" i="1"/>
  <c r="L411" i="1"/>
  <c r="K411" i="1"/>
  <c r="J411" i="1"/>
  <c r="G411" i="1"/>
  <c r="F411" i="1"/>
  <c r="E411" i="1"/>
  <c r="D411" i="1"/>
  <c r="C411" i="1"/>
  <c r="B411" i="1"/>
  <c r="A411" i="1"/>
  <c r="M410" i="1"/>
  <c r="L410" i="1"/>
  <c r="K410" i="1"/>
  <c r="J410" i="1"/>
  <c r="G410" i="1"/>
  <c r="F410" i="1"/>
  <c r="E410" i="1"/>
  <c r="D410" i="1"/>
  <c r="C410" i="1"/>
  <c r="B410" i="1"/>
  <c r="A410" i="1"/>
  <c r="M409" i="1"/>
  <c r="L409" i="1"/>
  <c r="K409" i="1"/>
  <c r="J409" i="1"/>
  <c r="G409" i="1"/>
  <c r="F409" i="1"/>
  <c r="E409" i="1"/>
  <c r="D409" i="1"/>
  <c r="C409" i="1"/>
  <c r="B409" i="1"/>
  <c r="A409" i="1"/>
  <c r="M408" i="1"/>
  <c r="L408" i="1"/>
  <c r="K408" i="1"/>
  <c r="J408" i="1"/>
  <c r="G408" i="1"/>
  <c r="F408" i="1"/>
  <c r="E408" i="1"/>
  <c r="D408" i="1"/>
  <c r="C408" i="1"/>
  <c r="B408" i="1"/>
  <c r="A408" i="1"/>
  <c r="M407" i="1"/>
  <c r="L407" i="1"/>
  <c r="K407" i="1"/>
  <c r="J407" i="1"/>
  <c r="G407" i="1"/>
  <c r="F407" i="1"/>
  <c r="E407" i="1"/>
  <c r="D407" i="1"/>
  <c r="C407" i="1"/>
  <c r="B407" i="1"/>
  <c r="A407" i="1"/>
  <c r="M406" i="1"/>
  <c r="L406" i="1"/>
  <c r="K406" i="1"/>
  <c r="J406" i="1"/>
  <c r="G406" i="1"/>
  <c r="F406" i="1"/>
  <c r="E406" i="1"/>
  <c r="D406" i="1"/>
  <c r="C406" i="1"/>
  <c r="B406" i="1"/>
  <c r="A406" i="1"/>
  <c r="L405" i="1"/>
  <c r="K405" i="1"/>
  <c r="J405" i="1"/>
  <c r="G405" i="1"/>
  <c r="F405" i="1"/>
  <c r="E405" i="1"/>
  <c r="D405" i="1"/>
  <c r="C405" i="1"/>
  <c r="B405" i="1"/>
  <c r="A405" i="1"/>
  <c r="M404" i="1"/>
  <c r="L403" i="1"/>
  <c r="K403" i="1"/>
  <c r="J403" i="1"/>
  <c r="I403" i="1"/>
  <c r="G403" i="1"/>
  <c r="F403" i="1"/>
  <c r="E403" i="1"/>
  <c r="D403" i="1"/>
  <c r="C403" i="1"/>
  <c r="B403" i="1"/>
  <c r="A403" i="1"/>
  <c r="M401" i="1"/>
  <c r="I401" i="1"/>
  <c r="H401" i="1"/>
  <c r="M400" i="1"/>
  <c r="L400" i="1"/>
  <c r="K400" i="1"/>
  <c r="J400" i="1"/>
  <c r="G400" i="1"/>
  <c r="F400" i="1"/>
  <c r="E400" i="1"/>
  <c r="D400" i="1"/>
  <c r="C400" i="1"/>
  <c r="B400" i="1"/>
  <c r="A400" i="1"/>
  <c r="M399" i="1"/>
  <c r="L399" i="1"/>
  <c r="K399" i="1"/>
  <c r="J399" i="1"/>
  <c r="G399" i="1"/>
  <c r="F399" i="1"/>
  <c r="E399" i="1"/>
  <c r="D399" i="1"/>
  <c r="C399" i="1"/>
  <c r="B399" i="1"/>
  <c r="A399" i="1"/>
  <c r="M398" i="1"/>
  <c r="L398" i="1"/>
  <c r="K398" i="1"/>
  <c r="J398" i="1"/>
  <c r="G398" i="1"/>
  <c r="F398" i="1"/>
  <c r="E398" i="1"/>
  <c r="D398" i="1"/>
  <c r="C398" i="1"/>
  <c r="B398" i="1"/>
  <c r="A398" i="1"/>
  <c r="M397" i="1"/>
  <c r="L397" i="1"/>
  <c r="K397" i="1"/>
  <c r="J397" i="1"/>
  <c r="G397" i="1"/>
  <c r="F397" i="1"/>
  <c r="E397" i="1"/>
  <c r="D397" i="1"/>
  <c r="C397" i="1"/>
  <c r="B397" i="1"/>
  <c r="A397" i="1"/>
  <c r="M396" i="1"/>
  <c r="L396" i="1"/>
  <c r="K396" i="1"/>
  <c r="J396" i="1"/>
  <c r="G396" i="1"/>
  <c r="F396" i="1"/>
  <c r="E396" i="1"/>
  <c r="D396" i="1"/>
  <c r="C396" i="1"/>
  <c r="B396" i="1"/>
  <c r="A396" i="1"/>
  <c r="M395" i="1"/>
  <c r="L395" i="1"/>
  <c r="K395" i="1"/>
  <c r="J395" i="1"/>
  <c r="G395" i="1"/>
  <c r="F395" i="1"/>
  <c r="E395" i="1"/>
  <c r="D395" i="1"/>
  <c r="C395" i="1"/>
  <c r="B395" i="1"/>
  <c r="A395" i="1"/>
  <c r="M394" i="1"/>
  <c r="L394" i="1"/>
  <c r="K394" i="1"/>
  <c r="J394" i="1"/>
  <c r="G394" i="1"/>
  <c r="F394" i="1"/>
  <c r="E394" i="1"/>
  <c r="D394" i="1"/>
  <c r="C394" i="1"/>
  <c r="B394" i="1"/>
  <c r="A394" i="1"/>
  <c r="M393" i="1"/>
  <c r="L393" i="1"/>
  <c r="K393" i="1"/>
  <c r="J393" i="1"/>
  <c r="G393" i="1"/>
  <c r="F393" i="1"/>
  <c r="E393" i="1"/>
  <c r="D393" i="1"/>
  <c r="C393" i="1"/>
  <c r="B393" i="1"/>
  <c r="A393" i="1"/>
  <c r="M392" i="1"/>
  <c r="L392" i="1"/>
  <c r="K392" i="1"/>
  <c r="J392" i="1"/>
  <c r="G392" i="1"/>
  <c r="F392" i="1"/>
  <c r="E392" i="1"/>
  <c r="D392" i="1"/>
  <c r="C392" i="1"/>
  <c r="B392" i="1"/>
  <c r="A392" i="1"/>
  <c r="M391" i="1"/>
  <c r="L391" i="1"/>
  <c r="K391" i="1"/>
  <c r="J391" i="1"/>
  <c r="G391" i="1"/>
  <c r="F391" i="1"/>
  <c r="E391" i="1"/>
  <c r="D391" i="1"/>
  <c r="C391" i="1"/>
  <c r="B391" i="1"/>
  <c r="A391" i="1"/>
  <c r="M390" i="1"/>
  <c r="L390" i="1"/>
  <c r="K390" i="1"/>
  <c r="J390" i="1"/>
  <c r="G390" i="1"/>
  <c r="F390" i="1"/>
  <c r="E390" i="1"/>
  <c r="D390" i="1"/>
  <c r="C390" i="1"/>
  <c r="B390" i="1"/>
  <c r="A390" i="1"/>
  <c r="M389" i="1"/>
  <c r="L389" i="1"/>
  <c r="K389" i="1"/>
  <c r="J389" i="1"/>
  <c r="G389" i="1"/>
  <c r="F389" i="1"/>
  <c r="E389" i="1"/>
  <c r="D389" i="1"/>
  <c r="C389" i="1"/>
  <c r="B389" i="1"/>
  <c r="A389" i="1"/>
  <c r="L388" i="1"/>
  <c r="K388" i="1"/>
  <c r="J388" i="1"/>
  <c r="G388" i="1"/>
  <c r="F388" i="1"/>
  <c r="E388" i="1"/>
  <c r="D388" i="1"/>
  <c r="C388" i="1"/>
  <c r="B388" i="1"/>
  <c r="A388" i="1"/>
  <c r="M387" i="1"/>
  <c r="L386" i="1"/>
  <c r="K386" i="1"/>
  <c r="J386" i="1"/>
  <c r="I386" i="1"/>
  <c r="G386" i="1"/>
  <c r="F386" i="1"/>
  <c r="E386" i="1"/>
  <c r="D386" i="1"/>
  <c r="C386" i="1"/>
  <c r="B386" i="1"/>
  <c r="A386" i="1"/>
  <c r="M384" i="1"/>
  <c r="I384" i="1"/>
  <c r="H384" i="1"/>
  <c r="M383" i="1"/>
  <c r="L383" i="1"/>
  <c r="K383" i="1"/>
  <c r="J383" i="1"/>
  <c r="G383" i="1"/>
  <c r="F383" i="1"/>
  <c r="E383" i="1"/>
  <c r="D383" i="1"/>
  <c r="C383" i="1"/>
  <c r="B383" i="1"/>
  <c r="A383" i="1"/>
  <c r="M382" i="1"/>
  <c r="L382" i="1"/>
  <c r="K382" i="1"/>
  <c r="J382" i="1"/>
  <c r="G382" i="1"/>
  <c r="F382" i="1"/>
  <c r="E382" i="1"/>
  <c r="D382" i="1"/>
  <c r="C382" i="1"/>
  <c r="B382" i="1"/>
  <c r="A382" i="1"/>
  <c r="M381" i="1"/>
  <c r="L381" i="1"/>
  <c r="K381" i="1"/>
  <c r="J381" i="1"/>
  <c r="G381" i="1"/>
  <c r="F381" i="1"/>
  <c r="E381" i="1"/>
  <c r="D381" i="1"/>
  <c r="C381" i="1"/>
  <c r="B381" i="1"/>
  <c r="A381" i="1"/>
  <c r="L380" i="1"/>
  <c r="K380" i="1"/>
  <c r="J380" i="1"/>
  <c r="G380" i="1"/>
  <c r="F380" i="1"/>
  <c r="E380" i="1"/>
  <c r="D380" i="1"/>
  <c r="C380" i="1"/>
  <c r="B380" i="1"/>
  <c r="A380" i="1"/>
  <c r="M378" i="1"/>
  <c r="I378" i="1"/>
  <c r="H378" i="1"/>
  <c r="M377" i="1"/>
  <c r="L377" i="1"/>
  <c r="K377" i="1"/>
  <c r="J377" i="1"/>
  <c r="G377" i="1"/>
  <c r="F377" i="1"/>
  <c r="E377" i="1"/>
  <c r="D377" i="1"/>
  <c r="C377" i="1"/>
  <c r="B377" i="1"/>
  <c r="A377" i="1"/>
  <c r="M376" i="1"/>
  <c r="L376" i="1"/>
  <c r="K376" i="1"/>
  <c r="J376" i="1"/>
  <c r="G376" i="1"/>
  <c r="F376" i="1"/>
  <c r="E376" i="1"/>
  <c r="D376" i="1"/>
  <c r="C376" i="1"/>
  <c r="B376" i="1"/>
  <c r="A376" i="1"/>
  <c r="M375" i="1"/>
  <c r="L375" i="1"/>
  <c r="K375" i="1"/>
  <c r="J375" i="1"/>
  <c r="G375" i="1"/>
  <c r="F375" i="1"/>
  <c r="E375" i="1"/>
  <c r="D375" i="1"/>
  <c r="C375" i="1"/>
  <c r="B375" i="1"/>
  <c r="A375" i="1"/>
  <c r="M374" i="1"/>
  <c r="L374" i="1"/>
  <c r="K374" i="1"/>
  <c r="J374" i="1"/>
  <c r="G374" i="1"/>
  <c r="F374" i="1"/>
  <c r="E374" i="1"/>
  <c r="D374" i="1"/>
  <c r="C374" i="1"/>
  <c r="B374" i="1"/>
  <c r="A374" i="1"/>
  <c r="M373" i="1"/>
  <c r="L373" i="1"/>
  <c r="K373" i="1"/>
  <c r="J373" i="1"/>
  <c r="G373" i="1"/>
  <c r="F373" i="1"/>
  <c r="E373" i="1"/>
  <c r="D373" i="1"/>
  <c r="C373" i="1"/>
  <c r="B373" i="1"/>
  <c r="A373" i="1"/>
  <c r="M372" i="1"/>
  <c r="L372" i="1"/>
  <c r="K372" i="1"/>
  <c r="J372" i="1"/>
  <c r="G372" i="1"/>
  <c r="F372" i="1"/>
  <c r="E372" i="1"/>
  <c r="D372" i="1"/>
  <c r="C372" i="1"/>
  <c r="B372" i="1"/>
  <c r="A372" i="1"/>
  <c r="M371" i="1"/>
  <c r="L371" i="1"/>
  <c r="K371" i="1"/>
  <c r="J371" i="1"/>
  <c r="G371" i="1"/>
  <c r="F371" i="1"/>
  <c r="E371" i="1"/>
  <c r="D371" i="1"/>
  <c r="C371" i="1"/>
  <c r="B371" i="1"/>
  <c r="A371" i="1"/>
  <c r="M370" i="1"/>
  <c r="L370" i="1"/>
  <c r="K370" i="1"/>
  <c r="J370" i="1"/>
  <c r="G370" i="1"/>
  <c r="F370" i="1"/>
  <c r="E370" i="1"/>
  <c r="D370" i="1"/>
  <c r="C370" i="1"/>
  <c r="B370" i="1"/>
  <c r="A370" i="1"/>
  <c r="M369" i="1"/>
  <c r="L369" i="1"/>
  <c r="K369" i="1"/>
  <c r="J369" i="1"/>
  <c r="G369" i="1"/>
  <c r="F369" i="1"/>
  <c r="E369" i="1"/>
  <c r="D369" i="1"/>
  <c r="C369" i="1"/>
  <c r="B369" i="1"/>
  <c r="A369" i="1"/>
  <c r="M368" i="1"/>
  <c r="L368" i="1"/>
  <c r="K368" i="1"/>
  <c r="J368" i="1"/>
  <c r="G368" i="1"/>
  <c r="F368" i="1"/>
  <c r="E368" i="1"/>
  <c r="D368" i="1"/>
  <c r="C368" i="1"/>
  <c r="B368" i="1"/>
  <c r="A368" i="1"/>
  <c r="M367" i="1"/>
  <c r="L367" i="1"/>
  <c r="K367" i="1"/>
  <c r="J367" i="1"/>
  <c r="G367" i="1"/>
  <c r="F367" i="1"/>
  <c r="E367" i="1"/>
  <c r="D367" i="1"/>
  <c r="C367" i="1"/>
  <c r="B367" i="1"/>
  <c r="A367" i="1"/>
  <c r="M366" i="1"/>
  <c r="L366" i="1"/>
  <c r="K366" i="1"/>
  <c r="J366" i="1"/>
  <c r="G366" i="1"/>
  <c r="F366" i="1"/>
  <c r="E366" i="1"/>
  <c r="D366" i="1"/>
  <c r="C366" i="1"/>
  <c r="B366" i="1"/>
  <c r="A366" i="1"/>
  <c r="M365" i="1"/>
  <c r="L365" i="1"/>
  <c r="K365" i="1"/>
  <c r="J365" i="1"/>
  <c r="G365" i="1"/>
  <c r="F365" i="1"/>
  <c r="E365" i="1"/>
  <c r="D365" i="1"/>
  <c r="C365" i="1"/>
  <c r="B365" i="1"/>
  <c r="A365" i="1"/>
  <c r="M364" i="1"/>
  <c r="L364" i="1"/>
  <c r="K364" i="1"/>
  <c r="J364" i="1"/>
  <c r="G364" i="1"/>
  <c r="F364" i="1"/>
  <c r="E364" i="1"/>
  <c r="D364" i="1"/>
  <c r="C364" i="1"/>
  <c r="B364" i="1"/>
  <c r="A364" i="1"/>
  <c r="M363" i="1"/>
  <c r="L363" i="1"/>
  <c r="K363" i="1"/>
  <c r="J363" i="1"/>
  <c r="G363" i="1"/>
  <c r="F363" i="1"/>
  <c r="E363" i="1"/>
  <c r="D363" i="1"/>
  <c r="C363" i="1"/>
  <c r="B363" i="1"/>
  <c r="A363" i="1"/>
  <c r="M362" i="1"/>
  <c r="L362" i="1"/>
  <c r="K362" i="1"/>
  <c r="J362" i="1"/>
  <c r="G362" i="1"/>
  <c r="F362" i="1"/>
  <c r="E362" i="1"/>
  <c r="D362" i="1"/>
  <c r="C362" i="1"/>
  <c r="B362" i="1"/>
  <c r="A362" i="1"/>
  <c r="M361" i="1"/>
  <c r="L361" i="1"/>
  <c r="K361" i="1"/>
  <c r="J361" i="1"/>
  <c r="G361" i="1"/>
  <c r="F361" i="1"/>
  <c r="E361" i="1"/>
  <c r="D361" i="1"/>
  <c r="C361" i="1"/>
  <c r="B361" i="1"/>
  <c r="A361" i="1"/>
  <c r="L360" i="1"/>
  <c r="K360" i="1"/>
  <c r="J360" i="1"/>
  <c r="G360" i="1"/>
  <c r="F360" i="1"/>
  <c r="E360" i="1"/>
  <c r="D360" i="1"/>
  <c r="C360" i="1"/>
  <c r="B360" i="1"/>
  <c r="A360" i="1"/>
  <c r="M358" i="1"/>
  <c r="I358" i="1"/>
  <c r="H358" i="1"/>
  <c r="M357" i="1"/>
  <c r="L357" i="1"/>
  <c r="K357" i="1"/>
  <c r="J357" i="1"/>
  <c r="G357" i="1"/>
  <c r="F357" i="1"/>
  <c r="E357" i="1"/>
  <c r="D357" i="1"/>
  <c r="C357" i="1"/>
  <c r="B357" i="1"/>
  <c r="A357" i="1"/>
  <c r="M356" i="1"/>
  <c r="L356" i="1"/>
  <c r="K356" i="1"/>
  <c r="J356" i="1"/>
  <c r="G356" i="1"/>
  <c r="F356" i="1"/>
  <c r="E356" i="1"/>
  <c r="D356" i="1"/>
  <c r="C356" i="1"/>
  <c r="B356" i="1"/>
  <c r="A356" i="1"/>
  <c r="M355" i="1"/>
  <c r="L355" i="1"/>
  <c r="K355" i="1"/>
  <c r="J355" i="1"/>
  <c r="G355" i="1"/>
  <c r="F355" i="1"/>
  <c r="E355" i="1"/>
  <c r="D355" i="1"/>
  <c r="C355" i="1"/>
  <c r="B355" i="1"/>
  <c r="A355" i="1"/>
  <c r="M354" i="1"/>
  <c r="L354" i="1"/>
  <c r="K354" i="1"/>
  <c r="J354" i="1"/>
  <c r="G354" i="1"/>
  <c r="F354" i="1"/>
  <c r="E354" i="1"/>
  <c r="D354" i="1"/>
  <c r="C354" i="1"/>
  <c r="B354" i="1"/>
  <c r="A354" i="1"/>
  <c r="M353" i="1"/>
  <c r="L353" i="1"/>
  <c r="K353" i="1"/>
  <c r="J353" i="1"/>
  <c r="G353" i="1"/>
  <c r="F353" i="1"/>
  <c r="E353" i="1"/>
  <c r="D353" i="1"/>
  <c r="C353" i="1"/>
  <c r="B353" i="1"/>
  <c r="A353" i="1"/>
  <c r="M352" i="1"/>
  <c r="L352" i="1"/>
  <c r="K352" i="1"/>
  <c r="J352" i="1"/>
  <c r="G352" i="1"/>
  <c r="F352" i="1"/>
  <c r="E352" i="1"/>
  <c r="D352" i="1"/>
  <c r="C352" i="1"/>
  <c r="B352" i="1"/>
  <c r="A352" i="1"/>
  <c r="M351" i="1"/>
  <c r="L351" i="1"/>
  <c r="K351" i="1"/>
  <c r="J351" i="1"/>
  <c r="G351" i="1"/>
  <c r="F351" i="1"/>
  <c r="E351" i="1"/>
  <c r="D351" i="1"/>
  <c r="C351" i="1"/>
  <c r="B351" i="1"/>
  <c r="A351" i="1"/>
  <c r="M350" i="1"/>
  <c r="L350" i="1"/>
  <c r="K350" i="1"/>
  <c r="J350" i="1"/>
  <c r="G350" i="1"/>
  <c r="F350" i="1"/>
  <c r="E350" i="1"/>
  <c r="D350" i="1"/>
  <c r="C350" i="1"/>
  <c r="B350" i="1"/>
  <c r="A350" i="1"/>
  <c r="M349" i="1"/>
  <c r="L349" i="1"/>
  <c r="K349" i="1"/>
  <c r="J349" i="1"/>
  <c r="G349" i="1"/>
  <c r="F349" i="1"/>
  <c r="E349" i="1"/>
  <c r="D349" i="1"/>
  <c r="C349" i="1"/>
  <c r="B349" i="1"/>
  <c r="A349" i="1"/>
  <c r="M348" i="1"/>
  <c r="L348" i="1"/>
  <c r="K348" i="1"/>
  <c r="J348" i="1"/>
  <c r="G348" i="1"/>
  <c r="F348" i="1"/>
  <c r="E348" i="1"/>
  <c r="D348" i="1"/>
  <c r="C348" i="1"/>
  <c r="B348" i="1"/>
  <c r="A348" i="1"/>
  <c r="M347" i="1"/>
  <c r="L347" i="1"/>
  <c r="K347" i="1"/>
  <c r="J347" i="1"/>
  <c r="G347" i="1"/>
  <c r="F347" i="1"/>
  <c r="E347" i="1"/>
  <c r="D347" i="1"/>
  <c r="C347" i="1"/>
  <c r="B347" i="1"/>
  <c r="A347" i="1"/>
  <c r="M346" i="1"/>
  <c r="L346" i="1"/>
  <c r="K346" i="1"/>
  <c r="J346" i="1"/>
  <c r="G346" i="1"/>
  <c r="F346" i="1"/>
  <c r="E346" i="1"/>
  <c r="D346" i="1"/>
  <c r="C346" i="1"/>
  <c r="B346" i="1"/>
  <c r="A346" i="1"/>
  <c r="M345" i="1"/>
  <c r="L345" i="1"/>
  <c r="K345" i="1"/>
  <c r="J345" i="1"/>
  <c r="G345" i="1"/>
  <c r="F345" i="1"/>
  <c r="E345" i="1"/>
  <c r="D345" i="1"/>
  <c r="C345" i="1"/>
  <c r="B345" i="1"/>
  <c r="A345" i="1"/>
  <c r="M344" i="1"/>
  <c r="L344" i="1"/>
  <c r="K344" i="1"/>
  <c r="J344" i="1"/>
  <c r="G344" i="1"/>
  <c r="F344" i="1"/>
  <c r="E344" i="1"/>
  <c r="D344" i="1"/>
  <c r="C344" i="1"/>
  <c r="B344" i="1"/>
  <c r="A344" i="1"/>
  <c r="M343" i="1"/>
  <c r="L343" i="1"/>
  <c r="K343" i="1"/>
  <c r="J343" i="1"/>
  <c r="G343" i="1"/>
  <c r="F343" i="1"/>
  <c r="E343" i="1"/>
  <c r="D343" i="1"/>
  <c r="C343" i="1"/>
  <c r="B343" i="1"/>
  <c r="A343" i="1"/>
  <c r="M342" i="1"/>
  <c r="L342" i="1"/>
  <c r="K342" i="1"/>
  <c r="J342" i="1"/>
  <c r="G342" i="1"/>
  <c r="F342" i="1"/>
  <c r="E342" i="1"/>
  <c r="D342" i="1"/>
  <c r="C342" i="1"/>
  <c r="B342" i="1"/>
  <c r="A342" i="1"/>
  <c r="M341" i="1"/>
  <c r="L341" i="1"/>
  <c r="K341" i="1"/>
  <c r="J341" i="1"/>
  <c r="G341" i="1"/>
  <c r="F341" i="1"/>
  <c r="E341" i="1"/>
  <c r="D341" i="1"/>
  <c r="C341" i="1"/>
  <c r="B341" i="1"/>
  <c r="A341" i="1"/>
  <c r="M340" i="1"/>
  <c r="L340" i="1"/>
  <c r="K340" i="1"/>
  <c r="J340" i="1"/>
  <c r="G340" i="1"/>
  <c r="F340" i="1"/>
  <c r="E340" i="1"/>
  <c r="D340" i="1"/>
  <c r="C340" i="1"/>
  <c r="B340" i="1"/>
  <c r="A340" i="1"/>
  <c r="M339" i="1"/>
  <c r="L339" i="1"/>
  <c r="K339" i="1"/>
  <c r="J339" i="1"/>
  <c r="G339" i="1"/>
  <c r="F339" i="1"/>
  <c r="E339" i="1"/>
  <c r="D339" i="1"/>
  <c r="C339" i="1"/>
  <c r="B339" i="1"/>
  <c r="A339" i="1"/>
  <c r="M338" i="1"/>
  <c r="L338" i="1"/>
  <c r="K338" i="1"/>
  <c r="J338" i="1"/>
  <c r="G338" i="1"/>
  <c r="F338" i="1"/>
  <c r="E338" i="1"/>
  <c r="D338" i="1"/>
  <c r="C338" i="1"/>
  <c r="B338" i="1"/>
  <c r="A338" i="1"/>
  <c r="M337" i="1"/>
  <c r="L337" i="1"/>
  <c r="K337" i="1"/>
  <c r="J337" i="1"/>
  <c r="G337" i="1"/>
  <c r="F337" i="1"/>
  <c r="E337" i="1"/>
  <c r="D337" i="1"/>
  <c r="C337" i="1"/>
  <c r="B337" i="1"/>
  <c r="A337" i="1"/>
  <c r="M336" i="1"/>
  <c r="L336" i="1"/>
  <c r="K336" i="1"/>
  <c r="J336" i="1"/>
  <c r="G336" i="1"/>
  <c r="F336" i="1"/>
  <c r="E336" i="1"/>
  <c r="D336" i="1"/>
  <c r="C336" i="1"/>
  <c r="B336" i="1"/>
  <c r="A336" i="1"/>
  <c r="M335" i="1"/>
  <c r="L335" i="1"/>
  <c r="K335" i="1"/>
  <c r="J335" i="1"/>
  <c r="G335" i="1"/>
  <c r="F335" i="1"/>
  <c r="E335" i="1"/>
  <c r="D335" i="1"/>
  <c r="C335" i="1"/>
  <c r="B335" i="1"/>
  <c r="A335" i="1"/>
  <c r="M334" i="1"/>
  <c r="L334" i="1"/>
  <c r="K334" i="1"/>
  <c r="J334" i="1"/>
  <c r="G334" i="1"/>
  <c r="F334" i="1"/>
  <c r="E334" i="1"/>
  <c r="D334" i="1"/>
  <c r="C334" i="1"/>
  <c r="B334" i="1"/>
  <c r="A334" i="1"/>
  <c r="L333" i="1"/>
  <c r="K333" i="1"/>
  <c r="J333" i="1"/>
  <c r="G333" i="1"/>
  <c r="F333" i="1"/>
  <c r="E333" i="1"/>
  <c r="D333" i="1"/>
  <c r="C333" i="1"/>
  <c r="B333" i="1"/>
  <c r="A333" i="1"/>
  <c r="M331" i="1"/>
  <c r="I331" i="1"/>
  <c r="H331" i="1"/>
  <c r="M330" i="1"/>
  <c r="L330" i="1"/>
  <c r="K330" i="1"/>
  <c r="J330" i="1"/>
  <c r="G330" i="1"/>
  <c r="F330" i="1"/>
  <c r="E330" i="1"/>
  <c r="D330" i="1"/>
  <c r="C330" i="1"/>
  <c r="B330" i="1"/>
  <c r="A330" i="1"/>
  <c r="M329" i="1"/>
  <c r="L329" i="1"/>
  <c r="K329" i="1"/>
  <c r="J329" i="1"/>
  <c r="G329" i="1"/>
  <c r="F329" i="1"/>
  <c r="E329" i="1"/>
  <c r="D329" i="1"/>
  <c r="C329" i="1"/>
  <c r="B329" i="1"/>
  <c r="A329" i="1"/>
  <c r="M328" i="1"/>
  <c r="L328" i="1"/>
  <c r="K328" i="1"/>
  <c r="J328" i="1"/>
  <c r="G328" i="1"/>
  <c r="F328" i="1"/>
  <c r="E328" i="1"/>
  <c r="D328" i="1"/>
  <c r="C328" i="1"/>
  <c r="B328" i="1"/>
  <c r="A328" i="1"/>
  <c r="M327" i="1"/>
  <c r="L327" i="1"/>
  <c r="K327" i="1"/>
  <c r="J327" i="1"/>
  <c r="G327" i="1"/>
  <c r="F327" i="1"/>
  <c r="E327" i="1"/>
  <c r="D327" i="1"/>
  <c r="C327" i="1"/>
  <c r="B327" i="1"/>
  <c r="A327" i="1"/>
  <c r="M326" i="1"/>
  <c r="L326" i="1"/>
  <c r="K326" i="1"/>
  <c r="J326" i="1"/>
  <c r="G326" i="1"/>
  <c r="F326" i="1"/>
  <c r="E326" i="1"/>
  <c r="D326" i="1"/>
  <c r="C326" i="1"/>
  <c r="B326" i="1"/>
  <c r="A326" i="1"/>
  <c r="L325" i="1"/>
  <c r="K325" i="1"/>
  <c r="J325" i="1"/>
  <c r="G325" i="1"/>
  <c r="F325" i="1"/>
  <c r="E325" i="1"/>
  <c r="D325" i="1"/>
  <c r="C325" i="1"/>
  <c r="B325" i="1"/>
  <c r="A325" i="1"/>
  <c r="M323" i="1"/>
  <c r="I323" i="1"/>
  <c r="H323" i="1"/>
  <c r="M322" i="1"/>
  <c r="L322" i="1"/>
  <c r="K322" i="1"/>
  <c r="J322" i="1"/>
  <c r="G322" i="1"/>
  <c r="F322" i="1"/>
  <c r="E322" i="1"/>
  <c r="D322" i="1"/>
  <c r="C322" i="1"/>
  <c r="B322" i="1"/>
  <c r="A322" i="1"/>
  <c r="L321" i="1"/>
  <c r="K321" i="1"/>
  <c r="J321" i="1"/>
  <c r="G321" i="1"/>
  <c r="F321" i="1"/>
  <c r="E321" i="1"/>
  <c r="D321" i="1"/>
  <c r="C321" i="1"/>
  <c r="B321" i="1"/>
  <c r="A321" i="1"/>
  <c r="I319" i="1"/>
  <c r="H319" i="1"/>
  <c r="L318" i="1"/>
  <c r="K318" i="1"/>
  <c r="J318" i="1"/>
  <c r="G318" i="1"/>
  <c r="F318" i="1"/>
  <c r="E318" i="1"/>
  <c r="D318" i="1"/>
  <c r="C318" i="1"/>
  <c r="B318" i="1"/>
  <c r="A318" i="1"/>
  <c r="M317" i="1"/>
  <c r="L317" i="1"/>
  <c r="K317" i="1"/>
  <c r="J317" i="1"/>
  <c r="G317" i="1"/>
  <c r="F317" i="1"/>
  <c r="E317" i="1"/>
  <c r="D317" i="1"/>
  <c r="C317" i="1"/>
  <c r="B317" i="1"/>
  <c r="A317" i="1"/>
  <c r="M316" i="1"/>
  <c r="L316" i="1"/>
  <c r="K316" i="1"/>
  <c r="J316" i="1"/>
  <c r="G316" i="1"/>
  <c r="F316" i="1"/>
  <c r="E316" i="1"/>
  <c r="D316" i="1"/>
  <c r="C316" i="1"/>
  <c r="B316" i="1"/>
  <c r="A316" i="1"/>
  <c r="M315" i="1"/>
  <c r="L315" i="1"/>
  <c r="K315" i="1"/>
  <c r="J315" i="1"/>
  <c r="G315" i="1"/>
  <c r="F315" i="1"/>
  <c r="E315" i="1"/>
  <c r="D315" i="1"/>
  <c r="C315" i="1"/>
  <c r="B315" i="1"/>
  <c r="A315" i="1"/>
  <c r="M314" i="1"/>
  <c r="L314" i="1"/>
  <c r="K314" i="1"/>
  <c r="J314" i="1"/>
  <c r="G314" i="1"/>
  <c r="F314" i="1"/>
  <c r="E314" i="1"/>
  <c r="D314" i="1"/>
  <c r="C314" i="1"/>
  <c r="B314" i="1"/>
  <c r="A314" i="1"/>
  <c r="M313" i="1"/>
  <c r="L313" i="1"/>
  <c r="K313" i="1"/>
  <c r="J313" i="1"/>
  <c r="G313" i="1"/>
  <c r="F313" i="1"/>
  <c r="E313" i="1"/>
  <c r="D313" i="1"/>
  <c r="C313" i="1"/>
  <c r="B313" i="1"/>
  <c r="A313" i="1"/>
  <c r="L312" i="1"/>
  <c r="K312" i="1"/>
  <c r="J312" i="1"/>
  <c r="G312" i="1"/>
  <c r="F312" i="1"/>
  <c r="E312" i="1"/>
  <c r="D312" i="1"/>
  <c r="C312" i="1"/>
  <c r="B312" i="1"/>
  <c r="A312" i="1"/>
  <c r="M310" i="1"/>
  <c r="I310" i="1"/>
  <c r="H310" i="1"/>
  <c r="M309" i="1"/>
  <c r="L309" i="1"/>
  <c r="K309" i="1"/>
  <c r="J309" i="1"/>
  <c r="G309" i="1"/>
  <c r="F309" i="1"/>
  <c r="E309" i="1"/>
  <c r="D309" i="1"/>
  <c r="C309" i="1"/>
  <c r="B309" i="1"/>
  <c r="A309" i="1"/>
  <c r="M308" i="1"/>
  <c r="L308" i="1"/>
  <c r="K308" i="1"/>
  <c r="J308" i="1"/>
  <c r="G308" i="1"/>
  <c r="F308" i="1"/>
  <c r="E308" i="1"/>
  <c r="D308" i="1"/>
  <c r="C308" i="1"/>
  <c r="B308" i="1"/>
  <c r="A308" i="1"/>
  <c r="M307" i="1"/>
  <c r="L307" i="1"/>
  <c r="K307" i="1"/>
  <c r="J307" i="1"/>
  <c r="G307" i="1"/>
  <c r="F307" i="1"/>
  <c r="E307" i="1"/>
  <c r="D307" i="1"/>
  <c r="C307" i="1"/>
  <c r="B307" i="1"/>
  <c r="A307" i="1"/>
  <c r="M306" i="1"/>
  <c r="L306" i="1"/>
  <c r="K306" i="1"/>
  <c r="J306" i="1"/>
  <c r="G306" i="1"/>
  <c r="F306" i="1"/>
  <c r="E306" i="1"/>
  <c r="D306" i="1"/>
  <c r="C306" i="1"/>
  <c r="B306" i="1"/>
  <c r="A306" i="1"/>
  <c r="M305" i="1"/>
  <c r="L305" i="1"/>
  <c r="K305" i="1"/>
  <c r="J305" i="1"/>
  <c r="G305" i="1"/>
  <c r="F305" i="1"/>
  <c r="E305" i="1"/>
  <c r="D305" i="1"/>
  <c r="C305" i="1"/>
  <c r="B305" i="1"/>
  <c r="A305" i="1"/>
  <c r="M304" i="1"/>
  <c r="L304" i="1"/>
  <c r="K304" i="1"/>
  <c r="J304" i="1"/>
  <c r="G304" i="1"/>
  <c r="F304" i="1"/>
  <c r="E304" i="1"/>
  <c r="D304" i="1"/>
  <c r="C304" i="1"/>
  <c r="B304" i="1"/>
  <c r="A304" i="1"/>
  <c r="M303" i="1"/>
  <c r="L303" i="1"/>
  <c r="K303" i="1"/>
  <c r="J303" i="1"/>
  <c r="G303" i="1"/>
  <c r="F303" i="1"/>
  <c r="E303" i="1"/>
  <c r="D303" i="1"/>
  <c r="C303" i="1"/>
  <c r="B303" i="1"/>
  <c r="A303" i="1"/>
  <c r="M302" i="1"/>
  <c r="L302" i="1"/>
  <c r="K302" i="1"/>
  <c r="J302" i="1"/>
  <c r="G302" i="1"/>
  <c r="F302" i="1"/>
  <c r="E302" i="1"/>
  <c r="D302" i="1"/>
  <c r="C302" i="1"/>
  <c r="B302" i="1"/>
  <c r="A302" i="1"/>
  <c r="M301" i="1"/>
  <c r="L301" i="1"/>
  <c r="K301" i="1"/>
  <c r="J301" i="1"/>
  <c r="G301" i="1"/>
  <c r="F301" i="1"/>
  <c r="E301" i="1"/>
  <c r="D301" i="1"/>
  <c r="C301" i="1"/>
  <c r="B301" i="1"/>
  <c r="A301" i="1"/>
  <c r="M300" i="1"/>
  <c r="L300" i="1"/>
  <c r="K300" i="1"/>
  <c r="J300" i="1"/>
  <c r="G300" i="1"/>
  <c r="F300" i="1"/>
  <c r="E300" i="1"/>
  <c r="D300" i="1"/>
  <c r="C300" i="1"/>
  <c r="B300" i="1"/>
  <c r="A300" i="1"/>
  <c r="M299" i="1"/>
  <c r="L299" i="1"/>
  <c r="K299" i="1"/>
  <c r="J299" i="1"/>
  <c r="G299" i="1"/>
  <c r="F299" i="1"/>
  <c r="E299" i="1"/>
  <c r="D299" i="1"/>
  <c r="C299" i="1"/>
  <c r="B299" i="1"/>
  <c r="A299" i="1"/>
  <c r="M298" i="1"/>
  <c r="L298" i="1"/>
  <c r="K298" i="1"/>
  <c r="J298" i="1"/>
  <c r="G298" i="1"/>
  <c r="F298" i="1"/>
  <c r="E298" i="1"/>
  <c r="D298" i="1"/>
  <c r="C298" i="1"/>
  <c r="B298" i="1"/>
  <c r="A298" i="1"/>
  <c r="M297" i="1"/>
  <c r="L297" i="1"/>
  <c r="K297" i="1"/>
  <c r="J297" i="1"/>
  <c r="G297" i="1"/>
  <c r="F297" i="1"/>
  <c r="E297" i="1"/>
  <c r="D297" i="1"/>
  <c r="C297" i="1"/>
  <c r="B297" i="1"/>
  <c r="A297" i="1"/>
  <c r="L296" i="1"/>
  <c r="K296" i="1"/>
  <c r="J296" i="1"/>
  <c r="G296" i="1"/>
  <c r="F296" i="1"/>
  <c r="E296" i="1"/>
  <c r="D296" i="1"/>
  <c r="C296" i="1"/>
  <c r="B296" i="1"/>
  <c r="A296" i="1"/>
  <c r="M294" i="1"/>
  <c r="I294" i="1"/>
  <c r="H294" i="1"/>
  <c r="M293" i="1"/>
  <c r="L293" i="1"/>
  <c r="K293" i="1"/>
  <c r="J293" i="1"/>
  <c r="G293" i="1"/>
  <c r="F293" i="1"/>
  <c r="E293" i="1"/>
  <c r="D293" i="1"/>
  <c r="C293" i="1"/>
  <c r="B293" i="1"/>
  <c r="A293" i="1"/>
  <c r="M292" i="1"/>
  <c r="L292" i="1"/>
  <c r="K292" i="1"/>
  <c r="J292" i="1"/>
  <c r="G292" i="1"/>
  <c r="F292" i="1"/>
  <c r="E292" i="1"/>
  <c r="D292" i="1"/>
  <c r="C292" i="1"/>
  <c r="B292" i="1"/>
  <c r="A292" i="1"/>
  <c r="M291" i="1"/>
  <c r="L291" i="1"/>
  <c r="K291" i="1"/>
  <c r="J291" i="1"/>
  <c r="G291" i="1"/>
  <c r="F291" i="1"/>
  <c r="E291" i="1"/>
  <c r="D291" i="1"/>
  <c r="C291" i="1"/>
  <c r="B291" i="1"/>
  <c r="A291" i="1"/>
  <c r="M290" i="1"/>
  <c r="L290" i="1"/>
  <c r="K290" i="1"/>
  <c r="J290" i="1"/>
  <c r="G290" i="1"/>
  <c r="F290" i="1"/>
  <c r="E290" i="1"/>
  <c r="D290" i="1"/>
  <c r="C290" i="1"/>
  <c r="B290" i="1"/>
  <c r="A290" i="1"/>
  <c r="M289" i="1"/>
  <c r="L289" i="1"/>
  <c r="K289" i="1"/>
  <c r="J289" i="1"/>
  <c r="G289" i="1"/>
  <c r="F289" i="1"/>
  <c r="E289" i="1"/>
  <c r="D289" i="1"/>
  <c r="C289" i="1"/>
  <c r="B289" i="1"/>
  <c r="A289" i="1"/>
  <c r="M288" i="1"/>
  <c r="L288" i="1"/>
  <c r="K288" i="1"/>
  <c r="J288" i="1"/>
  <c r="G288" i="1"/>
  <c r="F288" i="1"/>
  <c r="E288" i="1"/>
  <c r="D288" i="1"/>
  <c r="C288" i="1"/>
  <c r="B288" i="1"/>
  <c r="A288" i="1"/>
  <c r="M287" i="1"/>
  <c r="L287" i="1"/>
  <c r="K287" i="1"/>
  <c r="J287" i="1"/>
  <c r="G287" i="1"/>
  <c r="F287" i="1"/>
  <c r="E287" i="1"/>
  <c r="D287" i="1"/>
  <c r="C287" i="1"/>
  <c r="B287" i="1"/>
  <c r="A287" i="1"/>
  <c r="M286" i="1"/>
  <c r="L286" i="1"/>
  <c r="K286" i="1"/>
  <c r="J286" i="1"/>
  <c r="G286" i="1"/>
  <c r="F286" i="1"/>
  <c r="E286" i="1"/>
  <c r="D286" i="1"/>
  <c r="C286" i="1"/>
  <c r="B286" i="1"/>
  <c r="A286" i="1"/>
  <c r="L285" i="1"/>
  <c r="K285" i="1"/>
  <c r="J285" i="1"/>
  <c r="G285" i="1"/>
  <c r="F285" i="1"/>
  <c r="E285" i="1"/>
  <c r="D285" i="1"/>
  <c r="C285" i="1"/>
  <c r="B285" i="1"/>
  <c r="A285" i="1"/>
  <c r="M283" i="1"/>
  <c r="I283" i="1"/>
  <c r="H283" i="1"/>
  <c r="M282" i="1"/>
  <c r="L282" i="1"/>
  <c r="K282" i="1"/>
  <c r="J282" i="1"/>
  <c r="G282" i="1"/>
  <c r="F282" i="1"/>
  <c r="E282" i="1"/>
  <c r="D282" i="1"/>
  <c r="C282" i="1"/>
  <c r="B282" i="1"/>
  <c r="A282" i="1"/>
  <c r="M281" i="1"/>
  <c r="L281" i="1"/>
  <c r="K281" i="1"/>
  <c r="J281" i="1"/>
  <c r="G281" i="1"/>
  <c r="F281" i="1"/>
  <c r="E281" i="1"/>
  <c r="D281" i="1"/>
  <c r="C281" i="1"/>
  <c r="B281" i="1"/>
  <c r="A281" i="1"/>
  <c r="M280" i="1"/>
  <c r="L280" i="1"/>
  <c r="K280" i="1"/>
  <c r="J280" i="1"/>
  <c r="G280" i="1"/>
  <c r="F280" i="1"/>
  <c r="E280" i="1"/>
  <c r="D280" i="1"/>
  <c r="C280" i="1"/>
  <c r="B280" i="1"/>
  <c r="A280" i="1"/>
  <c r="M279" i="1"/>
  <c r="L279" i="1"/>
  <c r="K279" i="1"/>
  <c r="J279" i="1"/>
  <c r="G279" i="1"/>
  <c r="F279" i="1"/>
  <c r="E279" i="1"/>
  <c r="D279" i="1"/>
  <c r="C279" i="1"/>
  <c r="B279" i="1"/>
  <c r="A279" i="1"/>
  <c r="M278" i="1"/>
  <c r="L278" i="1"/>
  <c r="K278" i="1"/>
  <c r="J278" i="1"/>
  <c r="G278" i="1"/>
  <c r="F278" i="1"/>
  <c r="E278" i="1"/>
  <c r="D278" i="1"/>
  <c r="C278" i="1"/>
  <c r="B278" i="1"/>
  <c r="A278" i="1"/>
  <c r="M277" i="1"/>
  <c r="L277" i="1"/>
  <c r="K277" i="1"/>
  <c r="J277" i="1"/>
  <c r="G277" i="1"/>
  <c r="F277" i="1"/>
  <c r="E277" i="1"/>
  <c r="D277" i="1"/>
  <c r="C277" i="1"/>
  <c r="B277" i="1"/>
  <c r="A277" i="1"/>
  <c r="M276" i="1"/>
  <c r="L276" i="1"/>
  <c r="K276" i="1"/>
  <c r="J276" i="1"/>
  <c r="G276" i="1"/>
  <c r="F276" i="1"/>
  <c r="E276" i="1"/>
  <c r="D276" i="1"/>
  <c r="C276" i="1"/>
  <c r="B276" i="1"/>
  <c r="A276" i="1"/>
  <c r="M275" i="1"/>
  <c r="L275" i="1"/>
  <c r="K275" i="1"/>
  <c r="J275" i="1"/>
  <c r="G275" i="1"/>
  <c r="F275" i="1"/>
  <c r="E275" i="1"/>
  <c r="D275" i="1"/>
  <c r="C275" i="1"/>
  <c r="B275" i="1"/>
  <c r="A275" i="1"/>
  <c r="M274" i="1"/>
  <c r="L274" i="1"/>
  <c r="K274" i="1"/>
  <c r="J274" i="1"/>
  <c r="G274" i="1"/>
  <c r="F274" i="1"/>
  <c r="E274" i="1"/>
  <c r="D274" i="1"/>
  <c r="C274" i="1"/>
  <c r="B274" i="1"/>
  <c r="A274" i="1"/>
  <c r="M273" i="1"/>
  <c r="L273" i="1"/>
  <c r="K273" i="1"/>
  <c r="J273" i="1"/>
  <c r="G273" i="1"/>
  <c r="F273" i="1"/>
  <c r="E273" i="1"/>
  <c r="D273" i="1"/>
  <c r="C273" i="1"/>
  <c r="B273" i="1"/>
  <c r="A273" i="1"/>
  <c r="M272" i="1"/>
  <c r="L272" i="1"/>
  <c r="K272" i="1"/>
  <c r="J272" i="1"/>
  <c r="G272" i="1"/>
  <c r="F272" i="1"/>
  <c r="E272" i="1"/>
  <c r="D272" i="1"/>
  <c r="C272" i="1"/>
  <c r="B272" i="1"/>
  <c r="A272" i="1"/>
  <c r="M271" i="1"/>
  <c r="L271" i="1"/>
  <c r="K271" i="1"/>
  <c r="J271" i="1"/>
  <c r="G271" i="1"/>
  <c r="F271" i="1"/>
  <c r="E271" i="1"/>
  <c r="D271" i="1"/>
  <c r="C271" i="1"/>
  <c r="B271" i="1"/>
  <c r="A271" i="1"/>
  <c r="M270" i="1"/>
  <c r="L270" i="1"/>
  <c r="K270" i="1"/>
  <c r="J270" i="1"/>
  <c r="G270" i="1"/>
  <c r="F270" i="1"/>
  <c r="E270" i="1"/>
  <c r="D270" i="1"/>
  <c r="C270" i="1"/>
  <c r="B270" i="1"/>
  <c r="A270" i="1"/>
  <c r="M269" i="1"/>
  <c r="L269" i="1"/>
  <c r="K269" i="1"/>
  <c r="J269" i="1"/>
  <c r="G269" i="1"/>
  <c r="F269" i="1"/>
  <c r="E269" i="1"/>
  <c r="D269" i="1"/>
  <c r="C269" i="1"/>
  <c r="B269" i="1"/>
  <c r="A269" i="1"/>
  <c r="M268" i="1"/>
  <c r="L268" i="1"/>
  <c r="K268" i="1"/>
  <c r="J268" i="1"/>
  <c r="G268" i="1"/>
  <c r="F268" i="1"/>
  <c r="E268" i="1"/>
  <c r="D268" i="1"/>
  <c r="C268" i="1"/>
  <c r="B268" i="1"/>
  <c r="A268" i="1"/>
  <c r="M267" i="1"/>
  <c r="L267" i="1"/>
  <c r="K267" i="1"/>
  <c r="J267" i="1"/>
  <c r="G267" i="1"/>
  <c r="F267" i="1"/>
  <c r="E267" i="1"/>
  <c r="D267" i="1"/>
  <c r="C267" i="1"/>
  <c r="B267" i="1"/>
  <c r="A267" i="1"/>
  <c r="M266" i="1"/>
  <c r="L266" i="1"/>
  <c r="K266" i="1"/>
  <c r="J266" i="1"/>
  <c r="G266" i="1"/>
  <c r="F266" i="1"/>
  <c r="E266" i="1"/>
  <c r="D266" i="1"/>
  <c r="C266" i="1"/>
  <c r="B266" i="1"/>
  <c r="A266" i="1"/>
  <c r="M265" i="1"/>
  <c r="L265" i="1"/>
  <c r="K265" i="1"/>
  <c r="J265" i="1"/>
  <c r="G265" i="1"/>
  <c r="F265" i="1"/>
  <c r="E265" i="1"/>
  <c r="D265" i="1"/>
  <c r="C265" i="1"/>
  <c r="B265" i="1"/>
  <c r="A265" i="1"/>
  <c r="M264" i="1"/>
  <c r="L264" i="1"/>
  <c r="K264" i="1"/>
  <c r="J264" i="1"/>
  <c r="G264" i="1"/>
  <c r="F264" i="1"/>
  <c r="E264" i="1"/>
  <c r="D264" i="1"/>
  <c r="C264" i="1"/>
  <c r="B264" i="1"/>
  <c r="A264" i="1"/>
  <c r="M263" i="1"/>
  <c r="L263" i="1"/>
  <c r="K263" i="1"/>
  <c r="J263" i="1"/>
  <c r="G263" i="1"/>
  <c r="F263" i="1"/>
  <c r="E263" i="1"/>
  <c r="D263" i="1"/>
  <c r="C263" i="1"/>
  <c r="B263" i="1"/>
  <c r="A263" i="1"/>
  <c r="M262" i="1"/>
  <c r="L262" i="1"/>
  <c r="K262" i="1"/>
  <c r="J262" i="1"/>
  <c r="G262" i="1"/>
  <c r="F262" i="1"/>
  <c r="E262" i="1"/>
  <c r="D262" i="1"/>
  <c r="C262" i="1"/>
  <c r="B262" i="1"/>
  <c r="A262" i="1"/>
  <c r="M261" i="1"/>
  <c r="L261" i="1"/>
  <c r="K261" i="1"/>
  <c r="J261" i="1"/>
  <c r="G261" i="1"/>
  <c r="F261" i="1"/>
  <c r="E261" i="1"/>
  <c r="D261" i="1"/>
  <c r="C261" i="1"/>
  <c r="B261" i="1"/>
  <c r="A261" i="1"/>
  <c r="M260" i="1"/>
  <c r="L260" i="1"/>
  <c r="K260" i="1"/>
  <c r="J260" i="1"/>
  <c r="G260" i="1"/>
  <c r="F260" i="1"/>
  <c r="E260" i="1"/>
  <c r="D260" i="1"/>
  <c r="C260" i="1"/>
  <c r="B260" i="1"/>
  <c r="A260" i="1"/>
  <c r="M259" i="1"/>
  <c r="L259" i="1"/>
  <c r="K259" i="1"/>
  <c r="J259" i="1"/>
  <c r="G259" i="1"/>
  <c r="F259" i="1"/>
  <c r="E259" i="1"/>
  <c r="D259" i="1"/>
  <c r="C259" i="1"/>
  <c r="B259" i="1"/>
  <c r="A259" i="1"/>
  <c r="M258" i="1"/>
  <c r="L258" i="1"/>
  <c r="K258" i="1"/>
  <c r="J258" i="1"/>
  <c r="G258" i="1"/>
  <c r="F258" i="1"/>
  <c r="E258" i="1"/>
  <c r="D258" i="1"/>
  <c r="C258" i="1"/>
  <c r="B258" i="1"/>
  <c r="A258" i="1"/>
  <c r="M257" i="1"/>
  <c r="L257" i="1"/>
  <c r="K257" i="1"/>
  <c r="J257" i="1"/>
  <c r="G257" i="1"/>
  <c r="F257" i="1"/>
  <c r="E257" i="1"/>
  <c r="D257" i="1"/>
  <c r="C257" i="1"/>
  <c r="B257" i="1"/>
  <c r="A257" i="1"/>
  <c r="L256" i="1"/>
  <c r="K256" i="1"/>
  <c r="J256" i="1"/>
  <c r="G256" i="1"/>
  <c r="F256" i="1"/>
  <c r="E256" i="1"/>
  <c r="D256" i="1"/>
  <c r="C256" i="1"/>
  <c r="B256" i="1"/>
  <c r="A256" i="1"/>
  <c r="M255" i="1"/>
  <c r="L254" i="1"/>
  <c r="K254" i="1"/>
  <c r="J254" i="1"/>
  <c r="I254" i="1"/>
  <c r="G254" i="1"/>
  <c r="F254" i="1"/>
  <c r="E254" i="1"/>
  <c r="D254" i="1"/>
  <c r="C254" i="1"/>
  <c r="B254" i="1"/>
  <c r="A254" i="1"/>
  <c r="M253" i="1"/>
  <c r="L252" i="1"/>
  <c r="K252" i="1"/>
  <c r="J252" i="1"/>
  <c r="I252" i="1"/>
  <c r="G252" i="1"/>
  <c r="F252" i="1"/>
  <c r="E252" i="1"/>
  <c r="D252" i="1"/>
  <c r="C252" i="1"/>
  <c r="B252" i="1"/>
  <c r="A252" i="1"/>
  <c r="M250" i="1"/>
  <c r="I250" i="1"/>
  <c r="H250" i="1"/>
  <c r="M249" i="1"/>
  <c r="L249" i="1"/>
  <c r="K249" i="1"/>
  <c r="J249" i="1"/>
  <c r="G249" i="1"/>
  <c r="F249" i="1"/>
  <c r="E249" i="1"/>
  <c r="D249" i="1"/>
  <c r="C249" i="1"/>
  <c r="B249" i="1"/>
  <c r="A249" i="1"/>
  <c r="M248" i="1"/>
  <c r="L248" i="1"/>
  <c r="K248" i="1"/>
  <c r="J248" i="1"/>
  <c r="G248" i="1"/>
  <c r="F248" i="1"/>
  <c r="E248" i="1"/>
  <c r="D248" i="1"/>
  <c r="C248" i="1"/>
  <c r="B248" i="1"/>
  <c r="A248" i="1"/>
  <c r="M247" i="1"/>
  <c r="L247" i="1"/>
  <c r="K247" i="1"/>
  <c r="J247" i="1"/>
  <c r="G247" i="1"/>
  <c r="F247" i="1"/>
  <c r="E247" i="1"/>
  <c r="D247" i="1"/>
  <c r="C247" i="1"/>
  <c r="B247" i="1"/>
  <c r="A247" i="1"/>
  <c r="L246" i="1"/>
  <c r="K246" i="1"/>
  <c r="J246" i="1"/>
  <c r="G246" i="1"/>
  <c r="F246" i="1"/>
  <c r="E246" i="1"/>
  <c r="D246" i="1"/>
  <c r="C246" i="1"/>
  <c r="B246" i="1"/>
  <c r="A246" i="1"/>
  <c r="M244" i="1"/>
  <c r="I244" i="1"/>
  <c r="H244" i="1"/>
  <c r="M243" i="1"/>
  <c r="L243" i="1"/>
  <c r="K243" i="1"/>
  <c r="J243" i="1"/>
  <c r="G243" i="1"/>
  <c r="F243" i="1"/>
  <c r="E243" i="1"/>
  <c r="D243" i="1"/>
  <c r="C243" i="1"/>
  <c r="B243" i="1"/>
  <c r="A243" i="1"/>
  <c r="L242" i="1"/>
  <c r="K242" i="1"/>
  <c r="J242" i="1"/>
  <c r="G242" i="1"/>
  <c r="F242" i="1"/>
  <c r="E242" i="1"/>
  <c r="D242" i="1"/>
  <c r="C242" i="1"/>
  <c r="B242" i="1"/>
  <c r="A242" i="1"/>
  <c r="M240" i="1"/>
  <c r="I240" i="1"/>
  <c r="H240" i="1"/>
  <c r="M239" i="1"/>
  <c r="L239" i="1"/>
  <c r="K239" i="1"/>
  <c r="J239" i="1"/>
  <c r="G239" i="1"/>
  <c r="F239" i="1"/>
  <c r="E239" i="1"/>
  <c r="D239" i="1"/>
  <c r="C239" i="1"/>
  <c r="B239" i="1"/>
  <c r="A239" i="1"/>
  <c r="L238" i="1"/>
  <c r="K238" i="1"/>
  <c r="J238" i="1"/>
  <c r="G238" i="1"/>
  <c r="F238" i="1"/>
  <c r="E238" i="1"/>
  <c r="D238" i="1"/>
  <c r="C238" i="1"/>
  <c r="B238" i="1"/>
  <c r="A238" i="1"/>
  <c r="M236" i="1"/>
  <c r="I236" i="1"/>
  <c r="H236" i="1"/>
  <c r="M235" i="1"/>
  <c r="L235" i="1"/>
  <c r="K235" i="1"/>
  <c r="J235" i="1"/>
  <c r="G235" i="1"/>
  <c r="F235" i="1"/>
  <c r="E235" i="1"/>
  <c r="D235" i="1"/>
  <c r="C235" i="1"/>
  <c r="B235" i="1"/>
  <c r="A235" i="1"/>
  <c r="M234" i="1"/>
  <c r="L234" i="1"/>
  <c r="K234" i="1"/>
  <c r="J234" i="1"/>
  <c r="G234" i="1"/>
  <c r="F234" i="1"/>
  <c r="E234" i="1"/>
  <c r="D234" i="1"/>
  <c r="C234" i="1"/>
  <c r="B234" i="1"/>
  <c r="A234" i="1"/>
  <c r="M233" i="1"/>
  <c r="L233" i="1"/>
  <c r="K233" i="1"/>
  <c r="J233" i="1"/>
  <c r="G233" i="1"/>
  <c r="F233" i="1"/>
  <c r="E233" i="1"/>
  <c r="D233" i="1"/>
  <c r="C233" i="1"/>
  <c r="B233" i="1"/>
  <c r="A233" i="1"/>
  <c r="M232" i="1"/>
  <c r="L232" i="1"/>
  <c r="K232" i="1"/>
  <c r="J232" i="1"/>
  <c r="G232" i="1"/>
  <c r="F232" i="1"/>
  <c r="E232" i="1"/>
  <c r="D232" i="1"/>
  <c r="C232" i="1"/>
  <c r="B232" i="1"/>
  <c r="A232" i="1"/>
  <c r="M231" i="1"/>
  <c r="L231" i="1"/>
  <c r="K231" i="1"/>
  <c r="J231" i="1"/>
  <c r="G231" i="1"/>
  <c r="F231" i="1"/>
  <c r="E231" i="1"/>
  <c r="D231" i="1"/>
  <c r="C231" i="1"/>
  <c r="B231" i="1"/>
  <c r="A231" i="1"/>
  <c r="M230" i="1"/>
  <c r="L230" i="1"/>
  <c r="K230" i="1"/>
  <c r="J230" i="1"/>
  <c r="G230" i="1"/>
  <c r="F230" i="1"/>
  <c r="E230" i="1"/>
  <c r="D230" i="1"/>
  <c r="C230" i="1"/>
  <c r="B230" i="1"/>
  <c r="A230" i="1"/>
  <c r="M229" i="1"/>
  <c r="L229" i="1"/>
  <c r="K229" i="1"/>
  <c r="J229" i="1"/>
  <c r="G229" i="1"/>
  <c r="F229" i="1"/>
  <c r="E229" i="1"/>
  <c r="D229" i="1"/>
  <c r="C229" i="1"/>
  <c r="B229" i="1"/>
  <c r="A229" i="1"/>
  <c r="M228" i="1"/>
  <c r="L228" i="1"/>
  <c r="K228" i="1"/>
  <c r="J228" i="1"/>
  <c r="G228" i="1"/>
  <c r="F228" i="1"/>
  <c r="E228" i="1"/>
  <c r="D228" i="1"/>
  <c r="C228" i="1"/>
  <c r="B228" i="1"/>
  <c r="A228" i="1"/>
  <c r="M227" i="1"/>
  <c r="L227" i="1"/>
  <c r="K227" i="1"/>
  <c r="J227" i="1"/>
  <c r="G227" i="1"/>
  <c r="F227" i="1"/>
  <c r="E227" i="1"/>
  <c r="D227" i="1"/>
  <c r="C227" i="1"/>
  <c r="B227" i="1"/>
  <c r="A227" i="1"/>
  <c r="M226" i="1"/>
  <c r="L226" i="1"/>
  <c r="K226" i="1"/>
  <c r="J226" i="1"/>
  <c r="G226" i="1"/>
  <c r="F226" i="1"/>
  <c r="E226" i="1"/>
  <c r="D226" i="1"/>
  <c r="C226" i="1"/>
  <c r="B226" i="1"/>
  <c r="A226" i="1"/>
  <c r="M225" i="1"/>
  <c r="L225" i="1"/>
  <c r="K225" i="1"/>
  <c r="J225" i="1"/>
  <c r="G225" i="1"/>
  <c r="F225" i="1"/>
  <c r="E225" i="1"/>
  <c r="D225" i="1"/>
  <c r="C225" i="1"/>
  <c r="B225" i="1"/>
  <c r="A225" i="1"/>
  <c r="M224" i="1"/>
  <c r="L224" i="1"/>
  <c r="K224" i="1"/>
  <c r="J224" i="1"/>
  <c r="G224" i="1"/>
  <c r="F224" i="1"/>
  <c r="E224" i="1"/>
  <c r="D224" i="1"/>
  <c r="C224" i="1"/>
  <c r="B224" i="1"/>
  <c r="A224" i="1"/>
  <c r="M223" i="1"/>
  <c r="L223" i="1"/>
  <c r="K223" i="1"/>
  <c r="J223" i="1"/>
  <c r="G223" i="1"/>
  <c r="F223" i="1"/>
  <c r="E223" i="1"/>
  <c r="D223" i="1"/>
  <c r="C223" i="1"/>
  <c r="B223" i="1"/>
  <c r="A223" i="1"/>
  <c r="M222" i="1"/>
  <c r="L222" i="1"/>
  <c r="K222" i="1"/>
  <c r="J222" i="1"/>
  <c r="G222" i="1"/>
  <c r="F222" i="1"/>
  <c r="E222" i="1"/>
  <c r="D222" i="1"/>
  <c r="C222" i="1"/>
  <c r="B222" i="1"/>
  <c r="A222" i="1"/>
  <c r="M221" i="1"/>
  <c r="L221" i="1"/>
  <c r="K221" i="1"/>
  <c r="J221" i="1"/>
  <c r="G221" i="1"/>
  <c r="F221" i="1"/>
  <c r="E221" i="1"/>
  <c r="D221" i="1"/>
  <c r="C221" i="1"/>
  <c r="B221" i="1"/>
  <c r="A221" i="1"/>
  <c r="M220" i="1"/>
  <c r="L220" i="1"/>
  <c r="K220" i="1"/>
  <c r="J220" i="1"/>
  <c r="G220" i="1"/>
  <c r="F220" i="1"/>
  <c r="E220" i="1"/>
  <c r="D220" i="1"/>
  <c r="C220" i="1"/>
  <c r="B220" i="1"/>
  <c r="A220" i="1"/>
  <c r="M219" i="1"/>
  <c r="L219" i="1"/>
  <c r="K219" i="1"/>
  <c r="J219" i="1"/>
  <c r="G219" i="1"/>
  <c r="F219" i="1"/>
  <c r="E219" i="1"/>
  <c r="D219" i="1"/>
  <c r="C219" i="1"/>
  <c r="B219" i="1"/>
  <c r="A219" i="1"/>
  <c r="M218" i="1"/>
  <c r="L218" i="1"/>
  <c r="K218" i="1"/>
  <c r="J218" i="1"/>
  <c r="G218" i="1"/>
  <c r="F218" i="1"/>
  <c r="E218" i="1"/>
  <c r="D218" i="1"/>
  <c r="C218" i="1"/>
  <c r="B218" i="1"/>
  <c r="A218" i="1"/>
  <c r="M217" i="1"/>
  <c r="L217" i="1"/>
  <c r="K217" i="1"/>
  <c r="J217" i="1"/>
  <c r="G217" i="1"/>
  <c r="F217" i="1"/>
  <c r="E217" i="1"/>
  <c r="D217" i="1"/>
  <c r="C217" i="1"/>
  <c r="B217" i="1"/>
  <c r="A217" i="1"/>
  <c r="M216" i="1"/>
  <c r="L216" i="1"/>
  <c r="K216" i="1"/>
  <c r="J216" i="1"/>
  <c r="G216" i="1"/>
  <c r="F216" i="1"/>
  <c r="E216" i="1"/>
  <c r="D216" i="1"/>
  <c r="C216" i="1"/>
  <c r="B216" i="1"/>
  <c r="A216" i="1"/>
  <c r="M215" i="1"/>
  <c r="L215" i="1"/>
  <c r="K215" i="1"/>
  <c r="J215" i="1"/>
  <c r="G215" i="1"/>
  <c r="F215" i="1"/>
  <c r="E215" i="1"/>
  <c r="D215" i="1"/>
  <c r="C215" i="1"/>
  <c r="B215" i="1"/>
  <c r="A215" i="1"/>
  <c r="M214" i="1"/>
  <c r="L214" i="1"/>
  <c r="K214" i="1"/>
  <c r="J214" i="1"/>
  <c r="G214" i="1"/>
  <c r="F214" i="1"/>
  <c r="E214" i="1"/>
  <c r="D214" i="1"/>
  <c r="C214" i="1"/>
  <c r="B214" i="1"/>
  <c r="A214" i="1"/>
  <c r="M213" i="1"/>
  <c r="L213" i="1"/>
  <c r="K213" i="1"/>
  <c r="J213" i="1"/>
  <c r="G213" i="1"/>
  <c r="F213" i="1"/>
  <c r="E213" i="1"/>
  <c r="D213" i="1"/>
  <c r="C213" i="1"/>
  <c r="B213" i="1"/>
  <c r="A213" i="1"/>
  <c r="M212" i="1"/>
  <c r="L212" i="1"/>
  <c r="K212" i="1"/>
  <c r="J212" i="1"/>
  <c r="G212" i="1"/>
  <c r="F212" i="1"/>
  <c r="E212" i="1"/>
  <c r="D212" i="1"/>
  <c r="C212" i="1"/>
  <c r="B212" i="1"/>
  <c r="A212" i="1"/>
  <c r="M211" i="1"/>
  <c r="L211" i="1"/>
  <c r="K211" i="1"/>
  <c r="J211" i="1"/>
  <c r="G211" i="1"/>
  <c r="F211" i="1"/>
  <c r="E211" i="1"/>
  <c r="D211" i="1"/>
  <c r="C211" i="1"/>
  <c r="B211" i="1"/>
  <c r="A211" i="1"/>
  <c r="M210" i="1"/>
  <c r="L210" i="1"/>
  <c r="K210" i="1"/>
  <c r="J210" i="1"/>
  <c r="G210" i="1"/>
  <c r="F210" i="1"/>
  <c r="E210" i="1"/>
  <c r="D210" i="1"/>
  <c r="C210" i="1"/>
  <c r="B210" i="1"/>
  <c r="A210" i="1"/>
  <c r="M209" i="1"/>
  <c r="L209" i="1"/>
  <c r="K209" i="1"/>
  <c r="J209" i="1"/>
  <c r="G209" i="1"/>
  <c r="F209" i="1"/>
  <c r="E209" i="1"/>
  <c r="D209" i="1"/>
  <c r="C209" i="1"/>
  <c r="B209" i="1"/>
  <c r="A209" i="1"/>
  <c r="M208" i="1"/>
  <c r="L208" i="1"/>
  <c r="K208" i="1"/>
  <c r="J208" i="1"/>
  <c r="G208" i="1"/>
  <c r="F208" i="1"/>
  <c r="E208" i="1"/>
  <c r="D208" i="1"/>
  <c r="C208" i="1"/>
  <c r="B208" i="1"/>
  <c r="A208" i="1"/>
  <c r="M207" i="1"/>
  <c r="L207" i="1"/>
  <c r="K207" i="1"/>
  <c r="J207" i="1"/>
  <c r="G207" i="1"/>
  <c r="F207" i="1"/>
  <c r="E207" i="1"/>
  <c r="D207" i="1"/>
  <c r="C207" i="1"/>
  <c r="B207" i="1"/>
  <c r="A207" i="1"/>
  <c r="M206" i="1"/>
  <c r="L206" i="1"/>
  <c r="K206" i="1"/>
  <c r="J206" i="1"/>
  <c r="G206" i="1"/>
  <c r="F206" i="1"/>
  <c r="E206" i="1"/>
  <c r="D206" i="1"/>
  <c r="C206" i="1"/>
  <c r="B206" i="1"/>
  <c r="A206" i="1"/>
  <c r="M205" i="1"/>
  <c r="L205" i="1"/>
  <c r="K205" i="1"/>
  <c r="J205" i="1"/>
  <c r="G205" i="1"/>
  <c r="F205" i="1"/>
  <c r="E205" i="1"/>
  <c r="D205" i="1"/>
  <c r="C205" i="1"/>
  <c r="B205" i="1"/>
  <c r="A205" i="1"/>
  <c r="M204" i="1"/>
  <c r="L204" i="1"/>
  <c r="K204" i="1"/>
  <c r="J204" i="1"/>
  <c r="G204" i="1"/>
  <c r="F204" i="1"/>
  <c r="E204" i="1"/>
  <c r="D204" i="1"/>
  <c r="C204" i="1"/>
  <c r="B204" i="1"/>
  <c r="A204" i="1"/>
  <c r="M203" i="1"/>
  <c r="L203" i="1"/>
  <c r="K203" i="1"/>
  <c r="J203" i="1"/>
  <c r="G203" i="1"/>
  <c r="F203" i="1"/>
  <c r="E203" i="1"/>
  <c r="D203" i="1"/>
  <c r="C203" i="1"/>
  <c r="B203" i="1"/>
  <c r="A203" i="1"/>
  <c r="M202" i="1"/>
  <c r="L202" i="1"/>
  <c r="K202" i="1"/>
  <c r="J202" i="1"/>
  <c r="G202" i="1"/>
  <c r="F202" i="1"/>
  <c r="E202" i="1"/>
  <c r="D202" i="1"/>
  <c r="C202" i="1"/>
  <c r="B202" i="1"/>
  <c r="A202" i="1"/>
  <c r="M201" i="1"/>
  <c r="L201" i="1"/>
  <c r="K201" i="1"/>
  <c r="J201" i="1"/>
  <c r="G201" i="1"/>
  <c r="F201" i="1"/>
  <c r="E201" i="1"/>
  <c r="D201" i="1"/>
  <c r="C201" i="1"/>
  <c r="B201" i="1"/>
  <c r="A201" i="1"/>
  <c r="M200" i="1"/>
  <c r="L200" i="1"/>
  <c r="K200" i="1"/>
  <c r="J200" i="1"/>
  <c r="G200" i="1"/>
  <c r="F200" i="1"/>
  <c r="E200" i="1"/>
  <c r="D200" i="1"/>
  <c r="C200" i="1"/>
  <c r="B200" i="1"/>
  <c r="A200" i="1"/>
  <c r="M199" i="1"/>
  <c r="L199" i="1"/>
  <c r="K199" i="1"/>
  <c r="J199" i="1"/>
  <c r="G199" i="1"/>
  <c r="F199" i="1"/>
  <c r="E199" i="1"/>
  <c r="D199" i="1"/>
  <c r="C199" i="1"/>
  <c r="B199" i="1"/>
  <c r="A199" i="1"/>
  <c r="M198" i="1"/>
  <c r="L198" i="1"/>
  <c r="K198" i="1"/>
  <c r="J198" i="1"/>
  <c r="G198" i="1"/>
  <c r="F198" i="1"/>
  <c r="E198" i="1"/>
  <c r="D198" i="1"/>
  <c r="C198" i="1"/>
  <c r="B198" i="1"/>
  <c r="A198" i="1"/>
  <c r="M197" i="1"/>
  <c r="L197" i="1"/>
  <c r="K197" i="1"/>
  <c r="J197" i="1"/>
  <c r="G197" i="1"/>
  <c r="F197" i="1"/>
  <c r="E197" i="1"/>
  <c r="D197" i="1"/>
  <c r="C197" i="1"/>
  <c r="B197" i="1"/>
  <c r="A197" i="1"/>
  <c r="M196" i="1"/>
  <c r="L196" i="1"/>
  <c r="K196" i="1"/>
  <c r="J196" i="1"/>
  <c r="G196" i="1"/>
  <c r="F196" i="1"/>
  <c r="E196" i="1"/>
  <c r="D196" i="1"/>
  <c r="C196" i="1"/>
  <c r="B196" i="1"/>
  <c r="A196" i="1"/>
  <c r="M195" i="1"/>
  <c r="L195" i="1"/>
  <c r="K195" i="1"/>
  <c r="J195" i="1"/>
  <c r="G195" i="1"/>
  <c r="F195" i="1"/>
  <c r="E195" i="1"/>
  <c r="D195" i="1"/>
  <c r="C195" i="1"/>
  <c r="B195" i="1"/>
  <c r="A195" i="1"/>
  <c r="M194" i="1"/>
  <c r="L194" i="1"/>
  <c r="K194" i="1"/>
  <c r="J194" i="1"/>
  <c r="G194" i="1"/>
  <c r="F194" i="1"/>
  <c r="E194" i="1"/>
  <c r="D194" i="1"/>
  <c r="C194" i="1"/>
  <c r="B194" i="1"/>
  <c r="A194" i="1"/>
  <c r="M193" i="1"/>
  <c r="L193" i="1"/>
  <c r="K193" i="1"/>
  <c r="J193" i="1"/>
  <c r="G193" i="1"/>
  <c r="F193" i="1"/>
  <c r="E193" i="1"/>
  <c r="D193" i="1"/>
  <c r="C193" i="1"/>
  <c r="B193" i="1"/>
  <c r="A193" i="1"/>
  <c r="M192" i="1"/>
  <c r="L192" i="1"/>
  <c r="K192" i="1"/>
  <c r="J192" i="1"/>
  <c r="G192" i="1"/>
  <c r="F192" i="1"/>
  <c r="E192" i="1"/>
  <c r="D192" i="1"/>
  <c r="C192" i="1"/>
  <c r="B192" i="1"/>
  <c r="A192" i="1"/>
  <c r="M191" i="1"/>
  <c r="L191" i="1"/>
  <c r="K191" i="1"/>
  <c r="J191" i="1"/>
  <c r="G191" i="1"/>
  <c r="F191" i="1"/>
  <c r="E191" i="1"/>
  <c r="D191" i="1"/>
  <c r="C191" i="1"/>
  <c r="B191" i="1"/>
  <c r="A191" i="1"/>
  <c r="M190" i="1"/>
  <c r="L190" i="1"/>
  <c r="K190" i="1"/>
  <c r="J190" i="1"/>
  <c r="G190" i="1"/>
  <c r="F190" i="1"/>
  <c r="E190" i="1"/>
  <c r="D190" i="1"/>
  <c r="C190" i="1"/>
  <c r="B190" i="1"/>
  <c r="A190" i="1"/>
  <c r="M189" i="1"/>
  <c r="L189" i="1"/>
  <c r="K189" i="1"/>
  <c r="J189" i="1"/>
  <c r="G189" i="1"/>
  <c r="F189" i="1"/>
  <c r="E189" i="1"/>
  <c r="D189" i="1"/>
  <c r="C189" i="1"/>
  <c r="B189" i="1"/>
  <c r="A189" i="1"/>
  <c r="L188" i="1"/>
  <c r="K188" i="1"/>
  <c r="J188" i="1"/>
  <c r="G188" i="1"/>
  <c r="F188" i="1"/>
  <c r="E188" i="1"/>
  <c r="D188" i="1"/>
  <c r="C188" i="1"/>
  <c r="B188" i="1"/>
  <c r="A188" i="1"/>
  <c r="M186" i="1"/>
  <c r="I186" i="1"/>
  <c r="H186" i="1"/>
  <c r="M185" i="1"/>
  <c r="L185" i="1"/>
  <c r="K185" i="1"/>
  <c r="J185" i="1"/>
  <c r="G185" i="1"/>
  <c r="F185" i="1"/>
  <c r="E185" i="1"/>
  <c r="D185" i="1"/>
  <c r="C185" i="1"/>
  <c r="B185" i="1"/>
  <c r="A185" i="1"/>
  <c r="M184" i="1"/>
  <c r="L184" i="1"/>
  <c r="K184" i="1"/>
  <c r="J184" i="1"/>
  <c r="G184" i="1"/>
  <c r="F184" i="1"/>
  <c r="E184" i="1"/>
  <c r="D184" i="1"/>
  <c r="C184" i="1"/>
  <c r="B184" i="1"/>
  <c r="A184" i="1"/>
  <c r="M183" i="1"/>
  <c r="L183" i="1"/>
  <c r="K183" i="1"/>
  <c r="J183" i="1"/>
  <c r="G183" i="1"/>
  <c r="F183" i="1"/>
  <c r="E183" i="1"/>
  <c r="D183" i="1"/>
  <c r="C183" i="1"/>
  <c r="B183" i="1"/>
  <c r="A183" i="1"/>
  <c r="M182" i="1"/>
  <c r="L182" i="1"/>
  <c r="K182" i="1"/>
  <c r="J182" i="1"/>
  <c r="G182" i="1"/>
  <c r="F182" i="1"/>
  <c r="E182" i="1"/>
  <c r="D182" i="1"/>
  <c r="C182" i="1"/>
  <c r="B182" i="1"/>
  <c r="A182" i="1"/>
  <c r="M181" i="1"/>
  <c r="L181" i="1"/>
  <c r="K181" i="1"/>
  <c r="J181" i="1"/>
  <c r="G181" i="1"/>
  <c r="F181" i="1"/>
  <c r="E181" i="1"/>
  <c r="D181" i="1"/>
  <c r="C181" i="1"/>
  <c r="B181" i="1"/>
  <c r="A181" i="1"/>
  <c r="L180" i="1"/>
  <c r="K180" i="1"/>
  <c r="J180" i="1"/>
  <c r="G180" i="1"/>
  <c r="F180" i="1"/>
  <c r="E180" i="1"/>
  <c r="D180" i="1"/>
  <c r="C180" i="1"/>
  <c r="B180" i="1"/>
  <c r="A180" i="1"/>
  <c r="M178" i="1"/>
  <c r="I178" i="1"/>
  <c r="H178" i="1"/>
  <c r="M177" i="1"/>
  <c r="L177" i="1"/>
  <c r="K177" i="1"/>
  <c r="J177" i="1"/>
  <c r="G177" i="1"/>
  <c r="F177" i="1"/>
  <c r="E177" i="1"/>
  <c r="D177" i="1"/>
  <c r="C177" i="1"/>
  <c r="B177" i="1"/>
  <c r="A177" i="1"/>
  <c r="M176" i="1"/>
  <c r="L176" i="1"/>
  <c r="K176" i="1"/>
  <c r="J176" i="1"/>
  <c r="G176" i="1"/>
  <c r="F176" i="1"/>
  <c r="E176" i="1"/>
  <c r="D176" i="1"/>
  <c r="C176" i="1"/>
  <c r="B176" i="1"/>
  <c r="A176" i="1"/>
  <c r="M175" i="1"/>
  <c r="L175" i="1"/>
  <c r="K175" i="1"/>
  <c r="J175" i="1"/>
  <c r="G175" i="1"/>
  <c r="F175" i="1"/>
  <c r="E175" i="1"/>
  <c r="D175" i="1"/>
  <c r="C175" i="1"/>
  <c r="B175" i="1"/>
  <c r="A175" i="1"/>
  <c r="M174" i="1"/>
  <c r="L174" i="1"/>
  <c r="K174" i="1"/>
  <c r="J174" i="1"/>
  <c r="G174" i="1"/>
  <c r="F174" i="1"/>
  <c r="E174" i="1"/>
  <c r="D174" i="1"/>
  <c r="C174" i="1"/>
  <c r="B174" i="1"/>
  <c r="A174" i="1"/>
  <c r="M173" i="1"/>
  <c r="L173" i="1"/>
  <c r="K173" i="1"/>
  <c r="J173" i="1"/>
  <c r="G173" i="1"/>
  <c r="F173" i="1"/>
  <c r="E173" i="1"/>
  <c r="D173" i="1"/>
  <c r="C173" i="1"/>
  <c r="B173" i="1"/>
  <c r="A173" i="1"/>
  <c r="M172" i="1"/>
  <c r="L172" i="1"/>
  <c r="K172" i="1"/>
  <c r="J172" i="1"/>
  <c r="G172" i="1"/>
  <c r="F172" i="1"/>
  <c r="E172" i="1"/>
  <c r="D172" i="1"/>
  <c r="C172" i="1"/>
  <c r="B172" i="1"/>
  <c r="A172" i="1"/>
  <c r="M171" i="1"/>
  <c r="L171" i="1"/>
  <c r="K171" i="1"/>
  <c r="J171" i="1"/>
  <c r="G171" i="1"/>
  <c r="F171" i="1"/>
  <c r="E171" i="1"/>
  <c r="D171" i="1"/>
  <c r="C171" i="1"/>
  <c r="B171" i="1"/>
  <c r="A171" i="1"/>
  <c r="M170" i="1"/>
  <c r="L170" i="1"/>
  <c r="K170" i="1"/>
  <c r="J170" i="1"/>
  <c r="G170" i="1"/>
  <c r="F170" i="1"/>
  <c r="E170" i="1"/>
  <c r="D170" i="1"/>
  <c r="C170" i="1"/>
  <c r="B170" i="1"/>
  <c r="A170" i="1"/>
  <c r="M169" i="1"/>
  <c r="L169" i="1"/>
  <c r="K169" i="1"/>
  <c r="J169" i="1"/>
  <c r="G169" i="1"/>
  <c r="F169" i="1"/>
  <c r="E169" i="1"/>
  <c r="D169" i="1"/>
  <c r="C169" i="1"/>
  <c r="B169" i="1"/>
  <c r="A169" i="1"/>
  <c r="M168" i="1"/>
  <c r="L168" i="1"/>
  <c r="K168" i="1"/>
  <c r="J168" i="1"/>
  <c r="G168" i="1"/>
  <c r="F168" i="1"/>
  <c r="E168" i="1"/>
  <c r="D168" i="1"/>
  <c r="C168" i="1"/>
  <c r="B168" i="1"/>
  <c r="A168" i="1"/>
  <c r="M167" i="1"/>
  <c r="L167" i="1"/>
  <c r="K167" i="1"/>
  <c r="J167" i="1"/>
  <c r="G167" i="1"/>
  <c r="F167" i="1"/>
  <c r="E167" i="1"/>
  <c r="D167" i="1"/>
  <c r="C167" i="1"/>
  <c r="B167" i="1"/>
  <c r="A167" i="1"/>
  <c r="M166" i="1"/>
  <c r="L166" i="1"/>
  <c r="K166" i="1"/>
  <c r="J166" i="1"/>
  <c r="G166" i="1"/>
  <c r="F166" i="1"/>
  <c r="E166" i="1"/>
  <c r="D166" i="1"/>
  <c r="C166" i="1"/>
  <c r="B166" i="1"/>
  <c r="A166" i="1"/>
  <c r="M165" i="1"/>
  <c r="L165" i="1"/>
  <c r="K165" i="1"/>
  <c r="J165" i="1"/>
  <c r="G165" i="1"/>
  <c r="F165" i="1"/>
  <c r="E165" i="1"/>
  <c r="D165" i="1"/>
  <c r="C165" i="1"/>
  <c r="B165" i="1"/>
  <c r="A165" i="1"/>
  <c r="M164" i="1"/>
  <c r="L164" i="1"/>
  <c r="K164" i="1"/>
  <c r="J164" i="1"/>
  <c r="G164" i="1"/>
  <c r="F164" i="1"/>
  <c r="E164" i="1"/>
  <c r="D164" i="1"/>
  <c r="C164" i="1"/>
  <c r="B164" i="1"/>
  <c r="A164" i="1"/>
  <c r="M163" i="1"/>
  <c r="L163" i="1"/>
  <c r="K163" i="1"/>
  <c r="J163" i="1"/>
  <c r="G163" i="1"/>
  <c r="F163" i="1"/>
  <c r="E163" i="1"/>
  <c r="D163" i="1"/>
  <c r="C163" i="1"/>
  <c r="B163" i="1"/>
  <c r="A163" i="1"/>
  <c r="M162" i="1"/>
  <c r="L162" i="1"/>
  <c r="K162" i="1"/>
  <c r="J162" i="1"/>
  <c r="G162" i="1"/>
  <c r="F162" i="1"/>
  <c r="E162" i="1"/>
  <c r="D162" i="1"/>
  <c r="C162" i="1"/>
  <c r="B162" i="1"/>
  <c r="A162" i="1"/>
  <c r="M161" i="1"/>
  <c r="L161" i="1"/>
  <c r="K161" i="1"/>
  <c r="J161" i="1"/>
  <c r="G161" i="1"/>
  <c r="F161" i="1"/>
  <c r="E161" i="1"/>
  <c r="D161" i="1"/>
  <c r="C161" i="1"/>
  <c r="B161" i="1"/>
  <c r="A161" i="1"/>
  <c r="M160" i="1"/>
  <c r="L160" i="1"/>
  <c r="K160" i="1"/>
  <c r="J160" i="1"/>
  <c r="G160" i="1"/>
  <c r="F160" i="1"/>
  <c r="E160" i="1"/>
  <c r="D160" i="1"/>
  <c r="C160" i="1"/>
  <c r="B160" i="1"/>
  <c r="A160" i="1"/>
  <c r="M159" i="1"/>
  <c r="L159" i="1"/>
  <c r="K159" i="1"/>
  <c r="J159" i="1"/>
  <c r="G159" i="1"/>
  <c r="F159" i="1"/>
  <c r="E159" i="1"/>
  <c r="D159" i="1"/>
  <c r="C159" i="1"/>
  <c r="B159" i="1"/>
  <c r="A159" i="1"/>
  <c r="M158" i="1"/>
  <c r="L158" i="1"/>
  <c r="K158" i="1"/>
  <c r="J158" i="1"/>
  <c r="G158" i="1"/>
  <c r="F158" i="1"/>
  <c r="E158" i="1"/>
  <c r="D158" i="1"/>
  <c r="C158" i="1"/>
  <c r="B158" i="1"/>
  <c r="A158" i="1"/>
  <c r="M157" i="1"/>
  <c r="L157" i="1"/>
  <c r="K157" i="1"/>
  <c r="J157" i="1"/>
  <c r="G157" i="1"/>
  <c r="F157" i="1"/>
  <c r="E157" i="1"/>
  <c r="D157" i="1"/>
  <c r="C157" i="1"/>
  <c r="B157" i="1"/>
  <c r="A157" i="1"/>
  <c r="M156" i="1"/>
  <c r="L156" i="1"/>
  <c r="K156" i="1"/>
  <c r="J156" i="1"/>
  <c r="G156" i="1"/>
  <c r="F156" i="1"/>
  <c r="E156" i="1"/>
  <c r="D156" i="1"/>
  <c r="C156" i="1"/>
  <c r="B156" i="1"/>
  <c r="A156" i="1"/>
  <c r="L155" i="1"/>
  <c r="K155" i="1"/>
  <c r="J155" i="1"/>
  <c r="G155" i="1"/>
  <c r="F155" i="1"/>
  <c r="E155" i="1"/>
  <c r="D155" i="1"/>
  <c r="C155" i="1"/>
  <c r="B155" i="1"/>
  <c r="A155" i="1"/>
  <c r="M154" i="1"/>
  <c r="L153" i="1"/>
  <c r="K153" i="1"/>
  <c r="J153" i="1"/>
  <c r="I153" i="1"/>
  <c r="G153" i="1"/>
  <c r="F153" i="1"/>
  <c r="E153" i="1"/>
  <c r="D153" i="1"/>
  <c r="C153" i="1"/>
  <c r="B153" i="1"/>
  <c r="A153" i="1"/>
  <c r="M151" i="1"/>
  <c r="I151" i="1"/>
  <c r="H151" i="1"/>
  <c r="M150" i="1"/>
  <c r="K150" i="1"/>
  <c r="J150" i="1"/>
  <c r="G150" i="1"/>
  <c r="F150" i="1"/>
  <c r="E150" i="1"/>
  <c r="D150" i="1"/>
  <c r="C150" i="1"/>
  <c r="B150" i="1"/>
  <c r="A150" i="1"/>
  <c r="M149" i="1"/>
  <c r="K149" i="1"/>
  <c r="J149" i="1"/>
  <c r="G149" i="1"/>
  <c r="F149" i="1"/>
  <c r="E149" i="1"/>
  <c r="D149" i="1"/>
  <c r="C149" i="1"/>
  <c r="B149" i="1"/>
  <c r="A149" i="1"/>
  <c r="K148" i="1"/>
  <c r="J148" i="1"/>
  <c r="G148" i="1"/>
  <c r="F148" i="1"/>
  <c r="E148" i="1"/>
  <c r="D148" i="1"/>
  <c r="C148" i="1"/>
  <c r="B148" i="1"/>
  <c r="A148" i="1"/>
  <c r="I146" i="1"/>
  <c r="H146" i="1"/>
  <c r="M145" i="1"/>
  <c r="L145" i="1"/>
  <c r="K145" i="1"/>
  <c r="J145" i="1"/>
  <c r="G145" i="1"/>
  <c r="F145" i="1"/>
  <c r="E145" i="1"/>
  <c r="D145" i="1"/>
  <c r="C145" i="1"/>
  <c r="B145" i="1"/>
  <c r="A145" i="1"/>
  <c r="M144" i="1"/>
  <c r="L144" i="1"/>
  <c r="K144" i="1"/>
  <c r="J144" i="1"/>
  <c r="G144" i="1"/>
  <c r="F144" i="1"/>
  <c r="E144" i="1"/>
  <c r="D144" i="1"/>
  <c r="C144" i="1"/>
  <c r="B144" i="1"/>
  <c r="A144" i="1"/>
  <c r="M143" i="1"/>
  <c r="L143" i="1"/>
  <c r="K143" i="1"/>
  <c r="J143" i="1"/>
  <c r="G143" i="1"/>
  <c r="F143" i="1"/>
  <c r="E143" i="1"/>
  <c r="D143" i="1"/>
  <c r="C143" i="1"/>
  <c r="B143" i="1"/>
  <c r="A143" i="1"/>
  <c r="M142" i="1"/>
  <c r="L142" i="1"/>
  <c r="K142" i="1"/>
  <c r="J142" i="1"/>
  <c r="G142" i="1"/>
  <c r="F142" i="1"/>
  <c r="E142" i="1"/>
  <c r="D142" i="1"/>
  <c r="C142" i="1"/>
  <c r="B142" i="1"/>
  <c r="A142" i="1"/>
  <c r="M141" i="1"/>
  <c r="L141" i="1"/>
  <c r="K141" i="1"/>
  <c r="J141" i="1"/>
  <c r="G141" i="1"/>
  <c r="F141" i="1"/>
  <c r="E141" i="1"/>
  <c r="D141" i="1"/>
  <c r="C141" i="1"/>
  <c r="B141" i="1"/>
  <c r="A141" i="1"/>
  <c r="M140" i="1"/>
  <c r="L140" i="1"/>
  <c r="K140" i="1"/>
  <c r="J140" i="1"/>
  <c r="G140" i="1"/>
  <c r="F140" i="1"/>
  <c r="E140" i="1"/>
  <c r="D140" i="1"/>
  <c r="C140" i="1"/>
  <c r="B140" i="1"/>
  <c r="A140" i="1"/>
  <c r="M139" i="1"/>
  <c r="L139" i="1"/>
  <c r="K139" i="1"/>
  <c r="J139" i="1"/>
  <c r="G139" i="1"/>
  <c r="F139" i="1"/>
  <c r="E139" i="1"/>
  <c r="D139" i="1"/>
  <c r="C139" i="1"/>
  <c r="B139" i="1"/>
  <c r="A139" i="1"/>
  <c r="M138" i="1"/>
  <c r="L138" i="1"/>
  <c r="K138" i="1"/>
  <c r="J138" i="1"/>
  <c r="G138" i="1"/>
  <c r="F138" i="1"/>
  <c r="E138" i="1"/>
  <c r="D138" i="1"/>
  <c r="C138" i="1"/>
  <c r="B138" i="1"/>
  <c r="A138" i="1"/>
  <c r="M137" i="1"/>
  <c r="L137" i="1"/>
  <c r="K137" i="1"/>
  <c r="J137" i="1"/>
  <c r="G137" i="1"/>
  <c r="F137" i="1"/>
  <c r="E137" i="1"/>
  <c r="D137" i="1"/>
  <c r="C137" i="1"/>
  <c r="B137" i="1"/>
  <c r="A137" i="1"/>
  <c r="M136" i="1"/>
  <c r="L136" i="1"/>
  <c r="K136" i="1"/>
  <c r="J136" i="1"/>
  <c r="G136" i="1"/>
  <c r="F136" i="1"/>
  <c r="E136" i="1"/>
  <c r="D136" i="1"/>
  <c r="C136" i="1"/>
  <c r="B136" i="1"/>
  <c r="A136" i="1"/>
  <c r="M135" i="1"/>
  <c r="L135" i="1"/>
  <c r="K135" i="1"/>
  <c r="J135" i="1"/>
  <c r="G135" i="1"/>
  <c r="F135" i="1"/>
  <c r="E135" i="1"/>
  <c r="D135" i="1"/>
  <c r="C135" i="1"/>
  <c r="B135" i="1"/>
  <c r="A135" i="1"/>
  <c r="M134" i="1"/>
  <c r="L134" i="1"/>
  <c r="K134" i="1"/>
  <c r="J134" i="1"/>
  <c r="G134" i="1"/>
  <c r="F134" i="1"/>
  <c r="E134" i="1"/>
  <c r="D134" i="1"/>
  <c r="C134" i="1"/>
  <c r="B134" i="1"/>
  <c r="A134" i="1"/>
  <c r="M133" i="1"/>
  <c r="L133" i="1"/>
  <c r="K133" i="1"/>
  <c r="J133" i="1"/>
  <c r="G133" i="1"/>
  <c r="F133" i="1"/>
  <c r="E133" i="1"/>
  <c r="D133" i="1"/>
  <c r="C133" i="1"/>
  <c r="B133" i="1"/>
  <c r="A133" i="1"/>
  <c r="M132" i="1"/>
  <c r="L132" i="1"/>
  <c r="K132" i="1"/>
  <c r="J132" i="1"/>
  <c r="G132" i="1"/>
  <c r="F132" i="1"/>
  <c r="E132" i="1"/>
  <c r="D132" i="1"/>
  <c r="C132" i="1"/>
  <c r="B132" i="1"/>
  <c r="A132" i="1"/>
  <c r="M131" i="1"/>
  <c r="L131" i="1"/>
  <c r="K131" i="1"/>
  <c r="J131" i="1"/>
  <c r="G131" i="1"/>
  <c r="F131" i="1"/>
  <c r="E131" i="1"/>
  <c r="D131" i="1"/>
  <c r="C131" i="1"/>
  <c r="B131" i="1"/>
  <c r="A131" i="1"/>
  <c r="M130" i="1"/>
  <c r="L130" i="1"/>
  <c r="K130" i="1"/>
  <c r="J130" i="1"/>
  <c r="G130" i="1"/>
  <c r="F130" i="1"/>
  <c r="E130" i="1"/>
  <c r="D130" i="1"/>
  <c r="C130" i="1"/>
  <c r="B130" i="1"/>
  <c r="A130" i="1"/>
  <c r="M129" i="1"/>
  <c r="L129" i="1"/>
  <c r="K129" i="1"/>
  <c r="J129" i="1"/>
  <c r="G129" i="1"/>
  <c r="F129" i="1"/>
  <c r="E129" i="1"/>
  <c r="D129" i="1"/>
  <c r="C129" i="1"/>
  <c r="B129" i="1"/>
  <c r="A129" i="1"/>
  <c r="M128" i="1"/>
  <c r="L128" i="1"/>
  <c r="K128" i="1"/>
  <c r="J128" i="1"/>
  <c r="G128" i="1"/>
  <c r="F128" i="1"/>
  <c r="E128" i="1"/>
  <c r="D128" i="1"/>
  <c r="C128" i="1"/>
  <c r="B128" i="1"/>
  <c r="A128" i="1"/>
  <c r="M127" i="1"/>
  <c r="L127" i="1"/>
  <c r="K127" i="1"/>
  <c r="J127" i="1"/>
  <c r="G127" i="1"/>
  <c r="F127" i="1"/>
  <c r="E127" i="1"/>
  <c r="D127" i="1"/>
  <c r="C127" i="1"/>
  <c r="B127" i="1"/>
  <c r="A127" i="1"/>
  <c r="M126" i="1"/>
  <c r="L126" i="1"/>
  <c r="K126" i="1"/>
  <c r="J126" i="1"/>
  <c r="G126" i="1"/>
  <c r="F126" i="1"/>
  <c r="E126" i="1"/>
  <c r="D126" i="1"/>
  <c r="C126" i="1"/>
  <c r="B126" i="1"/>
  <c r="A126" i="1"/>
  <c r="M125" i="1"/>
  <c r="L125" i="1"/>
  <c r="K125" i="1"/>
  <c r="J125" i="1"/>
  <c r="G125" i="1"/>
  <c r="F125" i="1"/>
  <c r="E125" i="1"/>
  <c r="D125" i="1"/>
  <c r="C125" i="1"/>
  <c r="B125" i="1"/>
  <c r="A125" i="1"/>
  <c r="M124" i="1"/>
  <c r="L124" i="1"/>
  <c r="K124" i="1"/>
  <c r="J124" i="1"/>
  <c r="G124" i="1"/>
  <c r="F124" i="1"/>
  <c r="E124" i="1"/>
  <c r="D124" i="1"/>
  <c r="C124" i="1"/>
  <c r="B124" i="1"/>
  <c r="A124" i="1"/>
  <c r="M123" i="1"/>
  <c r="L123" i="1"/>
  <c r="K123" i="1"/>
  <c r="J123" i="1"/>
  <c r="G123" i="1"/>
  <c r="F123" i="1"/>
  <c r="E123" i="1"/>
  <c r="D123" i="1"/>
  <c r="C123" i="1"/>
  <c r="B123" i="1"/>
  <c r="A123" i="1"/>
  <c r="M122" i="1"/>
  <c r="L122" i="1"/>
  <c r="K122" i="1"/>
  <c r="J122" i="1"/>
  <c r="G122" i="1"/>
  <c r="F122" i="1"/>
  <c r="E122" i="1"/>
  <c r="D122" i="1"/>
  <c r="C122" i="1"/>
  <c r="B122" i="1"/>
  <c r="A122" i="1"/>
  <c r="M121" i="1"/>
  <c r="L121" i="1"/>
  <c r="K121" i="1"/>
  <c r="J121" i="1"/>
  <c r="G121" i="1"/>
  <c r="F121" i="1"/>
  <c r="E121" i="1"/>
  <c r="D121" i="1"/>
  <c r="C121" i="1"/>
  <c r="B121" i="1"/>
  <c r="A121" i="1"/>
  <c r="M120" i="1"/>
  <c r="L120" i="1"/>
  <c r="K120" i="1"/>
  <c r="J120" i="1"/>
  <c r="G120" i="1"/>
  <c r="F120" i="1"/>
  <c r="E120" i="1"/>
  <c r="D120" i="1"/>
  <c r="C120" i="1"/>
  <c r="B120" i="1"/>
  <c r="A120" i="1"/>
  <c r="M119" i="1"/>
  <c r="L119" i="1"/>
  <c r="K119" i="1"/>
  <c r="J119" i="1"/>
  <c r="G119" i="1"/>
  <c r="F119" i="1"/>
  <c r="E119" i="1"/>
  <c r="D119" i="1"/>
  <c r="C119" i="1"/>
  <c r="B119" i="1"/>
  <c r="A119" i="1"/>
  <c r="M118" i="1"/>
  <c r="L118" i="1"/>
  <c r="K118" i="1"/>
  <c r="J118" i="1"/>
  <c r="G118" i="1"/>
  <c r="F118" i="1"/>
  <c r="E118" i="1"/>
  <c r="D118" i="1"/>
  <c r="C118" i="1"/>
  <c r="B118" i="1"/>
  <c r="A118" i="1"/>
  <c r="M117" i="1"/>
  <c r="L117" i="1"/>
  <c r="K117" i="1"/>
  <c r="J117" i="1"/>
  <c r="G117" i="1"/>
  <c r="F117" i="1"/>
  <c r="E117" i="1"/>
  <c r="D117" i="1"/>
  <c r="C117" i="1"/>
  <c r="B117" i="1"/>
  <c r="A117" i="1"/>
  <c r="M116" i="1"/>
  <c r="L116" i="1"/>
  <c r="K116" i="1"/>
  <c r="J116" i="1"/>
  <c r="G116" i="1"/>
  <c r="F116" i="1"/>
  <c r="E116" i="1"/>
  <c r="D116" i="1"/>
  <c r="C116" i="1"/>
  <c r="B116" i="1"/>
  <c r="A116" i="1"/>
  <c r="M115" i="1"/>
  <c r="L115" i="1"/>
  <c r="K115" i="1"/>
  <c r="J115" i="1"/>
  <c r="G115" i="1"/>
  <c r="F115" i="1"/>
  <c r="E115" i="1"/>
  <c r="D115" i="1"/>
  <c r="C115" i="1"/>
  <c r="B115" i="1"/>
  <c r="A115" i="1"/>
  <c r="M114" i="1"/>
  <c r="L114" i="1"/>
  <c r="K114" i="1"/>
  <c r="J114" i="1"/>
  <c r="G114" i="1"/>
  <c r="F114" i="1"/>
  <c r="E114" i="1"/>
  <c r="D114" i="1"/>
  <c r="C114" i="1"/>
  <c r="B114" i="1"/>
  <c r="A114" i="1"/>
  <c r="M113" i="1"/>
  <c r="L113" i="1"/>
  <c r="K113" i="1"/>
  <c r="J113" i="1"/>
  <c r="G113" i="1"/>
  <c r="F113" i="1"/>
  <c r="E113" i="1"/>
  <c r="D113" i="1"/>
  <c r="C113" i="1"/>
  <c r="B113" i="1"/>
  <c r="A113" i="1"/>
  <c r="M112" i="1"/>
  <c r="L112" i="1"/>
  <c r="K112" i="1"/>
  <c r="J112" i="1"/>
  <c r="G112" i="1"/>
  <c r="F112" i="1"/>
  <c r="E112" i="1"/>
  <c r="D112" i="1"/>
  <c r="C112" i="1"/>
  <c r="B112" i="1"/>
  <c r="A112" i="1"/>
  <c r="M111" i="1"/>
  <c r="L111" i="1"/>
  <c r="K111" i="1"/>
  <c r="J111" i="1"/>
  <c r="G111" i="1"/>
  <c r="F111" i="1"/>
  <c r="E111" i="1"/>
  <c r="D111" i="1"/>
  <c r="C111" i="1"/>
  <c r="B111" i="1"/>
  <c r="A111" i="1"/>
  <c r="M110" i="1"/>
  <c r="L110" i="1"/>
  <c r="K110" i="1"/>
  <c r="J110" i="1"/>
  <c r="G110" i="1"/>
  <c r="F110" i="1"/>
  <c r="E110" i="1"/>
  <c r="D110" i="1"/>
  <c r="C110" i="1"/>
  <c r="B110" i="1"/>
  <c r="A110" i="1"/>
  <c r="M109" i="1"/>
  <c r="L109" i="1"/>
  <c r="K109" i="1"/>
  <c r="J109" i="1"/>
  <c r="G109" i="1"/>
  <c r="F109" i="1"/>
  <c r="E109" i="1"/>
  <c r="D109" i="1"/>
  <c r="C109" i="1"/>
  <c r="B109" i="1"/>
  <c r="A109" i="1"/>
  <c r="M108" i="1"/>
  <c r="L108" i="1"/>
  <c r="K108" i="1"/>
  <c r="J108" i="1"/>
  <c r="G108" i="1"/>
  <c r="F108" i="1"/>
  <c r="E108" i="1"/>
  <c r="D108" i="1"/>
  <c r="C108" i="1"/>
  <c r="B108" i="1"/>
  <c r="A108" i="1"/>
  <c r="M107" i="1"/>
  <c r="L107" i="1"/>
  <c r="K107" i="1"/>
  <c r="J107" i="1"/>
  <c r="G107" i="1"/>
  <c r="F107" i="1"/>
  <c r="E107" i="1"/>
  <c r="D107" i="1"/>
  <c r="C107" i="1"/>
  <c r="B107" i="1"/>
  <c r="A107" i="1"/>
  <c r="M106" i="1"/>
  <c r="L106" i="1"/>
  <c r="K106" i="1"/>
  <c r="J106" i="1"/>
  <c r="G106" i="1"/>
  <c r="F106" i="1"/>
  <c r="E106" i="1"/>
  <c r="D106" i="1"/>
  <c r="C106" i="1"/>
  <c r="B106" i="1"/>
  <c r="A106" i="1"/>
  <c r="M105" i="1"/>
  <c r="L105" i="1"/>
  <c r="K105" i="1"/>
  <c r="J105" i="1"/>
  <c r="G105" i="1"/>
  <c r="F105" i="1"/>
  <c r="E105" i="1"/>
  <c r="D105" i="1"/>
  <c r="C105" i="1"/>
  <c r="B105" i="1"/>
  <c r="A105" i="1"/>
  <c r="M104" i="1"/>
  <c r="L104" i="1"/>
  <c r="K104" i="1"/>
  <c r="J104" i="1"/>
  <c r="G104" i="1"/>
  <c r="F104" i="1"/>
  <c r="E104" i="1"/>
  <c r="D104" i="1"/>
  <c r="C104" i="1"/>
  <c r="B104" i="1"/>
  <c r="A104" i="1"/>
  <c r="M103" i="1"/>
  <c r="L103" i="1"/>
  <c r="K103" i="1"/>
  <c r="J103" i="1"/>
  <c r="G103" i="1"/>
  <c r="F103" i="1"/>
  <c r="E103" i="1"/>
  <c r="D103" i="1"/>
  <c r="C103" i="1"/>
  <c r="B103" i="1"/>
  <c r="A103" i="1"/>
  <c r="M102" i="1"/>
  <c r="L102" i="1"/>
  <c r="K102" i="1"/>
  <c r="J102" i="1"/>
  <c r="G102" i="1"/>
  <c r="F102" i="1"/>
  <c r="E102" i="1"/>
  <c r="D102" i="1"/>
  <c r="C102" i="1"/>
  <c r="B102" i="1"/>
  <c r="A102" i="1"/>
  <c r="M101" i="1"/>
  <c r="L101" i="1"/>
  <c r="K101" i="1"/>
  <c r="J101" i="1"/>
  <c r="G101" i="1"/>
  <c r="F101" i="1"/>
  <c r="E101" i="1"/>
  <c r="D101" i="1"/>
  <c r="C101" i="1"/>
  <c r="B101" i="1"/>
  <c r="A101" i="1"/>
  <c r="M100" i="1"/>
  <c r="L100" i="1"/>
  <c r="K100" i="1"/>
  <c r="J100" i="1"/>
  <c r="G100" i="1"/>
  <c r="F100" i="1"/>
  <c r="E100" i="1"/>
  <c r="D100" i="1"/>
  <c r="C100" i="1"/>
  <c r="B100" i="1"/>
  <c r="A100" i="1"/>
  <c r="M99" i="1"/>
  <c r="L99" i="1"/>
  <c r="K99" i="1"/>
  <c r="J99" i="1"/>
  <c r="G99" i="1"/>
  <c r="F99" i="1"/>
  <c r="E99" i="1"/>
  <c r="D99" i="1"/>
  <c r="C99" i="1"/>
  <c r="B99" i="1"/>
  <c r="A99" i="1"/>
  <c r="M98" i="1"/>
  <c r="L98" i="1"/>
  <c r="K98" i="1"/>
  <c r="J98" i="1"/>
  <c r="G98" i="1"/>
  <c r="F98" i="1"/>
  <c r="E98" i="1"/>
  <c r="D98" i="1"/>
  <c r="C98" i="1"/>
  <c r="B98" i="1"/>
  <c r="A98" i="1"/>
  <c r="M97" i="1"/>
  <c r="L97" i="1"/>
  <c r="K97" i="1"/>
  <c r="J97" i="1"/>
  <c r="G97" i="1"/>
  <c r="F97" i="1"/>
  <c r="E97" i="1"/>
  <c r="D97" i="1"/>
  <c r="C97" i="1"/>
  <c r="B97" i="1"/>
  <c r="A97" i="1"/>
  <c r="M96" i="1"/>
  <c r="L96" i="1"/>
  <c r="K96" i="1"/>
  <c r="J96" i="1"/>
  <c r="G96" i="1"/>
  <c r="F96" i="1"/>
  <c r="E96" i="1"/>
  <c r="D96" i="1"/>
  <c r="C96" i="1"/>
  <c r="B96" i="1"/>
  <c r="A96" i="1"/>
  <c r="M95" i="1"/>
  <c r="L95" i="1"/>
  <c r="K95" i="1"/>
  <c r="J95" i="1"/>
  <c r="G95" i="1"/>
  <c r="F95" i="1"/>
  <c r="E95" i="1"/>
  <c r="D95" i="1"/>
  <c r="C95" i="1"/>
  <c r="B95" i="1"/>
  <c r="A95" i="1"/>
  <c r="M94" i="1"/>
  <c r="L94" i="1"/>
  <c r="K94" i="1"/>
  <c r="J94" i="1"/>
  <c r="G94" i="1"/>
  <c r="F94" i="1"/>
  <c r="E94" i="1"/>
  <c r="D94" i="1"/>
  <c r="C94" i="1"/>
  <c r="B94" i="1"/>
  <c r="A94" i="1"/>
  <c r="M93" i="1"/>
  <c r="L93" i="1"/>
  <c r="K93" i="1"/>
  <c r="J93" i="1"/>
  <c r="G93" i="1"/>
  <c r="F93" i="1"/>
  <c r="E93" i="1"/>
  <c r="D93" i="1"/>
  <c r="C93" i="1"/>
  <c r="B93" i="1"/>
  <c r="A93" i="1"/>
  <c r="M92" i="1"/>
  <c r="L92" i="1"/>
  <c r="K92" i="1"/>
  <c r="J92" i="1"/>
  <c r="G92" i="1"/>
  <c r="F92" i="1"/>
  <c r="E92" i="1"/>
  <c r="D92" i="1"/>
  <c r="C92" i="1"/>
  <c r="B92" i="1"/>
  <c r="A92" i="1"/>
  <c r="M91" i="1"/>
  <c r="L91" i="1"/>
  <c r="K91" i="1"/>
  <c r="J91" i="1"/>
  <c r="G91" i="1"/>
  <c r="F91" i="1"/>
  <c r="E91" i="1"/>
  <c r="D91" i="1"/>
  <c r="C91" i="1"/>
  <c r="B91" i="1"/>
  <c r="A91" i="1"/>
  <c r="M90" i="1"/>
  <c r="L90" i="1"/>
  <c r="K90" i="1"/>
  <c r="J90" i="1"/>
  <c r="G90" i="1"/>
  <c r="F90" i="1"/>
  <c r="E90" i="1"/>
  <c r="D90" i="1"/>
  <c r="C90" i="1"/>
  <c r="B90" i="1"/>
  <c r="A90" i="1"/>
  <c r="M89" i="1"/>
  <c r="L89" i="1"/>
  <c r="K89" i="1"/>
  <c r="J89" i="1"/>
  <c r="G89" i="1"/>
  <c r="F89" i="1"/>
  <c r="E89" i="1"/>
  <c r="D89" i="1"/>
  <c r="C89" i="1"/>
  <c r="B89" i="1"/>
  <c r="A89" i="1"/>
  <c r="M88" i="1"/>
  <c r="L88" i="1"/>
  <c r="K88" i="1"/>
  <c r="J88" i="1"/>
  <c r="G88" i="1"/>
  <c r="F88" i="1"/>
  <c r="E88" i="1"/>
  <c r="D88" i="1"/>
  <c r="C88" i="1"/>
  <c r="B88" i="1"/>
  <c r="A88" i="1"/>
  <c r="M87" i="1"/>
  <c r="L87" i="1"/>
  <c r="K87" i="1"/>
  <c r="J87" i="1"/>
  <c r="G87" i="1"/>
  <c r="F87" i="1"/>
  <c r="E87" i="1"/>
  <c r="D87" i="1"/>
  <c r="C87" i="1"/>
  <c r="B87" i="1"/>
  <c r="A87" i="1"/>
  <c r="M86" i="1"/>
  <c r="L86" i="1"/>
  <c r="K86" i="1"/>
  <c r="J86" i="1"/>
  <c r="G86" i="1"/>
  <c r="F86" i="1"/>
  <c r="E86" i="1"/>
  <c r="D86" i="1"/>
  <c r="C86" i="1"/>
  <c r="B86" i="1"/>
  <c r="A86" i="1"/>
  <c r="M85" i="1"/>
  <c r="L85" i="1"/>
  <c r="K85" i="1"/>
  <c r="J85" i="1"/>
  <c r="G85" i="1"/>
  <c r="F85" i="1"/>
  <c r="E85" i="1"/>
  <c r="D85" i="1"/>
  <c r="C85" i="1"/>
  <c r="B85" i="1"/>
  <c r="A85" i="1"/>
  <c r="M84" i="1"/>
  <c r="L84" i="1"/>
  <c r="K84" i="1"/>
  <c r="J84" i="1"/>
  <c r="G84" i="1"/>
  <c r="F84" i="1"/>
  <c r="E84" i="1"/>
  <c r="D84" i="1"/>
  <c r="C84" i="1"/>
  <c r="B84" i="1"/>
  <c r="A84" i="1"/>
  <c r="M83" i="1"/>
  <c r="L83" i="1"/>
  <c r="K83" i="1"/>
  <c r="J83" i="1"/>
  <c r="G83" i="1"/>
  <c r="F83" i="1"/>
  <c r="E83" i="1"/>
  <c r="D83" i="1"/>
  <c r="C83" i="1"/>
  <c r="B83" i="1"/>
  <c r="A83" i="1"/>
  <c r="M82" i="1"/>
  <c r="L82" i="1"/>
  <c r="K82" i="1"/>
  <c r="J82" i="1"/>
  <c r="G82" i="1"/>
  <c r="F82" i="1"/>
  <c r="E82" i="1"/>
  <c r="D82" i="1"/>
  <c r="C82" i="1"/>
  <c r="B82" i="1"/>
  <c r="A82" i="1"/>
  <c r="M81" i="1"/>
  <c r="L81" i="1"/>
  <c r="K81" i="1"/>
  <c r="J81" i="1"/>
  <c r="G81" i="1"/>
  <c r="F81" i="1"/>
  <c r="E81" i="1"/>
  <c r="D81" i="1"/>
  <c r="C81" i="1"/>
  <c r="B81" i="1"/>
  <c r="A81" i="1"/>
  <c r="M80" i="1"/>
  <c r="L80" i="1"/>
  <c r="K80" i="1"/>
  <c r="J80" i="1"/>
  <c r="G80" i="1"/>
  <c r="F80" i="1"/>
  <c r="E80" i="1"/>
  <c r="D80" i="1"/>
  <c r="C80" i="1"/>
  <c r="B80" i="1"/>
  <c r="A80" i="1"/>
  <c r="M79" i="1"/>
  <c r="L79" i="1"/>
  <c r="K79" i="1"/>
  <c r="J79" i="1"/>
  <c r="G79" i="1"/>
  <c r="F79" i="1"/>
  <c r="E79" i="1"/>
  <c r="D79" i="1"/>
  <c r="C79" i="1"/>
  <c r="B79" i="1"/>
  <c r="A79" i="1"/>
  <c r="M78" i="1"/>
  <c r="L78" i="1"/>
  <c r="K78" i="1"/>
  <c r="J78" i="1"/>
  <c r="G78" i="1"/>
  <c r="F78" i="1"/>
  <c r="E78" i="1"/>
  <c r="D78" i="1"/>
  <c r="C78" i="1"/>
  <c r="B78" i="1"/>
  <c r="A78" i="1"/>
  <c r="M77" i="1"/>
  <c r="L77" i="1"/>
  <c r="K77" i="1"/>
  <c r="J77" i="1"/>
  <c r="G77" i="1"/>
  <c r="F77" i="1"/>
  <c r="E77" i="1"/>
  <c r="D77" i="1"/>
  <c r="C77" i="1"/>
  <c r="B77" i="1"/>
  <c r="A77" i="1"/>
  <c r="M76" i="1"/>
  <c r="L76" i="1"/>
  <c r="K76" i="1"/>
  <c r="J76" i="1"/>
  <c r="G76" i="1"/>
  <c r="F76" i="1"/>
  <c r="E76" i="1"/>
  <c r="D76" i="1"/>
  <c r="C76" i="1"/>
  <c r="B76" i="1"/>
  <c r="A76" i="1"/>
  <c r="M75" i="1"/>
  <c r="L75" i="1"/>
  <c r="K75" i="1"/>
  <c r="J75" i="1"/>
  <c r="G75" i="1"/>
  <c r="F75" i="1"/>
  <c r="E75" i="1"/>
  <c r="D75" i="1"/>
  <c r="C75" i="1"/>
  <c r="B75" i="1"/>
  <c r="A75" i="1"/>
  <c r="M74" i="1"/>
  <c r="L74" i="1"/>
  <c r="K74" i="1"/>
  <c r="J74" i="1"/>
  <c r="G74" i="1"/>
  <c r="F74" i="1"/>
  <c r="E74" i="1"/>
  <c r="D74" i="1"/>
  <c r="C74" i="1"/>
  <c r="B74" i="1"/>
  <c r="A74" i="1"/>
  <c r="M73" i="1"/>
  <c r="L73" i="1"/>
  <c r="K73" i="1"/>
  <c r="J73" i="1"/>
  <c r="G73" i="1"/>
  <c r="F73" i="1"/>
  <c r="E73" i="1"/>
  <c r="D73" i="1"/>
  <c r="C73" i="1"/>
  <c r="B73" i="1"/>
  <c r="A73" i="1"/>
  <c r="M72" i="1"/>
  <c r="L72" i="1"/>
  <c r="K72" i="1"/>
  <c r="J72" i="1"/>
  <c r="G72" i="1"/>
  <c r="F72" i="1"/>
  <c r="E72" i="1"/>
  <c r="D72" i="1"/>
  <c r="C72" i="1"/>
  <c r="B72" i="1"/>
  <c r="A72" i="1"/>
  <c r="M71" i="1"/>
  <c r="L71" i="1"/>
  <c r="K71" i="1"/>
  <c r="J71" i="1"/>
  <c r="G71" i="1"/>
  <c r="F71" i="1"/>
  <c r="E71" i="1"/>
  <c r="D71" i="1"/>
  <c r="C71" i="1"/>
  <c r="B71" i="1"/>
  <c r="A71" i="1"/>
  <c r="M70" i="1"/>
  <c r="L70" i="1"/>
  <c r="K70" i="1"/>
  <c r="J70" i="1"/>
  <c r="G70" i="1"/>
  <c r="F70" i="1"/>
  <c r="E70" i="1"/>
  <c r="D70" i="1"/>
  <c r="C70" i="1"/>
  <c r="B70" i="1"/>
  <c r="A70" i="1"/>
  <c r="M69" i="1"/>
  <c r="L69" i="1"/>
  <c r="K69" i="1"/>
  <c r="J69" i="1"/>
  <c r="G69" i="1"/>
  <c r="F69" i="1"/>
  <c r="E69" i="1"/>
  <c r="D69" i="1"/>
  <c r="C69" i="1"/>
  <c r="B69" i="1"/>
  <c r="A69" i="1"/>
  <c r="L68" i="1"/>
  <c r="K68" i="1"/>
  <c r="J68" i="1"/>
  <c r="G68" i="1"/>
  <c r="F68" i="1"/>
  <c r="E68" i="1"/>
  <c r="D68" i="1"/>
  <c r="C68" i="1"/>
  <c r="B68" i="1"/>
  <c r="A68" i="1"/>
  <c r="M66" i="1"/>
  <c r="I66" i="1"/>
  <c r="H66" i="1"/>
  <c r="M65" i="1"/>
  <c r="L65" i="1"/>
  <c r="K65" i="1"/>
  <c r="J65" i="1"/>
  <c r="G65" i="1"/>
  <c r="F65" i="1"/>
  <c r="E65" i="1"/>
  <c r="D65" i="1"/>
  <c r="C65" i="1"/>
  <c r="B65" i="1"/>
  <c r="A65" i="1"/>
  <c r="M64" i="1"/>
  <c r="L64" i="1"/>
  <c r="K64" i="1"/>
  <c r="J64" i="1"/>
  <c r="G64" i="1"/>
  <c r="F64" i="1"/>
  <c r="E64" i="1"/>
  <c r="D64" i="1"/>
  <c r="C64" i="1"/>
  <c r="B64" i="1"/>
  <c r="A64" i="1"/>
  <c r="M63" i="1"/>
  <c r="L63" i="1"/>
  <c r="K63" i="1"/>
  <c r="J63" i="1"/>
  <c r="G63" i="1"/>
  <c r="F63" i="1"/>
  <c r="E63" i="1"/>
  <c r="D63" i="1"/>
  <c r="C63" i="1"/>
  <c r="B63" i="1"/>
  <c r="A63" i="1"/>
  <c r="M62" i="1"/>
  <c r="L62" i="1"/>
  <c r="K62" i="1"/>
  <c r="J62" i="1"/>
  <c r="G62" i="1"/>
  <c r="F62" i="1"/>
  <c r="E62" i="1"/>
  <c r="D62" i="1"/>
  <c r="C62" i="1"/>
  <c r="B62" i="1"/>
  <c r="A62" i="1"/>
  <c r="M61" i="1"/>
  <c r="L61" i="1"/>
  <c r="K61" i="1"/>
  <c r="J61" i="1"/>
  <c r="G61" i="1"/>
  <c r="F61" i="1"/>
  <c r="E61" i="1"/>
  <c r="D61" i="1"/>
  <c r="C61" i="1"/>
  <c r="B61" i="1"/>
  <c r="A61" i="1"/>
  <c r="M60" i="1"/>
  <c r="L60" i="1"/>
  <c r="K60" i="1"/>
  <c r="J60" i="1"/>
  <c r="G60" i="1"/>
  <c r="F60" i="1"/>
  <c r="E60" i="1"/>
  <c r="D60" i="1"/>
  <c r="C60" i="1"/>
  <c r="B60" i="1"/>
  <c r="A60" i="1"/>
  <c r="M59" i="1"/>
  <c r="L59" i="1"/>
  <c r="K59" i="1"/>
  <c r="J59" i="1"/>
  <c r="G59" i="1"/>
  <c r="F59" i="1"/>
  <c r="E59" i="1"/>
  <c r="D59" i="1"/>
  <c r="C59" i="1"/>
  <c r="B59" i="1"/>
  <c r="A59" i="1"/>
  <c r="M58" i="1"/>
  <c r="L58" i="1"/>
  <c r="K58" i="1"/>
  <c r="J58" i="1"/>
  <c r="G58" i="1"/>
  <c r="F58" i="1"/>
  <c r="E58" i="1"/>
  <c r="D58" i="1"/>
  <c r="C58" i="1"/>
  <c r="B58" i="1"/>
  <c r="A58" i="1"/>
  <c r="M57" i="1"/>
  <c r="L57" i="1"/>
  <c r="K57" i="1"/>
  <c r="J57" i="1"/>
  <c r="G57" i="1"/>
  <c r="F57" i="1"/>
  <c r="E57" i="1"/>
  <c r="D57" i="1"/>
  <c r="C57" i="1"/>
  <c r="B57" i="1"/>
  <c r="A57" i="1"/>
  <c r="L56" i="1"/>
  <c r="K56" i="1"/>
  <c r="J56" i="1"/>
  <c r="G56" i="1"/>
  <c r="F56" i="1"/>
  <c r="E56" i="1"/>
  <c r="D56" i="1"/>
  <c r="C56" i="1"/>
  <c r="B56" i="1"/>
  <c r="A56" i="1"/>
  <c r="M55" i="1"/>
  <c r="L54" i="1"/>
  <c r="K54" i="1"/>
  <c r="J54" i="1"/>
  <c r="I54" i="1"/>
  <c r="G54" i="1"/>
  <c r="F54" i="1"/>
  <c r="E54" i="1"/>
  <c r="D54" i="1"/>
  <c r="C54" i="1"/>
  <c r="B54" i="1"/>
  <c r="A54" i="1"/>
  <c r="M53" i="1"/>
  <c r="L52" i="1"/>
  <c r="K52" i="1"/>
  <c r="J52" i="1"/>
  <c r="I52" i="1"/>
  <c r="G52" i="1"/>
  <c r="F52" i="1"/>
  <c r="E52" i="1"/>
  <c r="D52" i="1"/>
  <c r="C52" i="1"/>
  <c r="B52" i="1"/>
  <c r="A52" i="1"/>
  <c r="M50" i="1"/>
  <c r="I50" i="1"/>
  <c r="H50" i="1"/>
  <c r="M49" i="1"/>
  <c r="K49" i="1"/>
  <c r="J49" i="1"/>
  <c r="G49" i="1"/>
  <c r="F49" i="1"/>
  <c r="E49" i="1"/>
  <c r="D49" i="1"/>
  <c r="C49" i="1"/>
  <c r="B49" i="1"/>
  <c r="A49" i="1"/>
  <c r="K48" i="1"/>
  <c r="J48" i="1"/>
  <c r="G48" i="1"/>
  <c r="F48" i="1"/>
  <c r="E48" i="1"/>
  <c r="D48" i="1"/>
  <c r="C48" i="1"/>
  <c r="B48" i="1"/>
  <c r="A48" i="1"/>
  <c r="M47" i="1"/>
  <c r="L46" i="1"/>
  <c r="K46" i="1"/>
  <c r="J46" i="1"/>
  <c r="I46" i="1"/>
  <c r="G46" i="1"/>
  <c r="F46" i="1"/>
  <c r="E46" i="1"/>
  <c r="D46" i="1"/>
  <c r="C46" i="1"/>
  <c r="B46" i="1"/>
  <c r="A46" i="1"/>
  <c r="M44" i="1"/>
  <c r="I44" i="1"/>
  <c r="H44" i="1"/>
  <c r="M43" i="1"/>
  <c r="L43" i="1"/>
  <c r="K43" i="1"/>
  <c r="J43" i="1"/>
  <c r="G43" i="1"/>
  <c r="F43" i="1"/>
  <c r="E43" i="1"/>
  <c r="D43" i="1"/>
  <c r="C43" i="1"/>
  <c r="B43" i="1"/>
  <c r="A43" i="1"/>
  <c r="M42" i="1"/>
  <c r="L42" i="1"/>
  <c r="K42" i="1"/>
  <c r="J42" i="1"/>
  <c r="G42" i="1"/>
  <c r="F42" i="1"/>
  <c r="E42" i="1"/>
  <c r="D42" i="1"/>
  <c r="C42" i="1"/>
  <c r="B42" i="1"/>
  <c r="A42" i="1"/>
  <c r="M41" i="1"/>
  <c r="L41" i="1"/>
  <c r="K41" i="1"/>
  <c r="J41" i="1"/>
  <c r="G41" i="1"/>
  <c r="F41" i="1"/>
  <c r="E41" i="1"/>
  <c r="D41" i="1"/>
  <c r="C41" i="1"/>
  <c r="B41" i="1"/>
  <c r="A41" i="1"/>
  <c r="L40" i="1"/>
  <c r="K40" i="1"/>
  <c r="J40" i="1"/>
  <c r="G40" i="1"/>
  <c r="F40" i="1"/>
  <c r="E40" i="1"/>
  <c r="D40" i="1"/>
  <c r="C40" i="1"/>
  <c r="B40" i="1"/>
  <c r="A40" i="1"/>
  <c r="M35" i="1"/>
  <c r="H35" i="1"/>
  <c r="M34" i="1"/>
  <c r="L34" i="1"/>
  <c r="K34" i="1"/>
  <c r="J34" i="1"/>
  <c r="G34" i="1"/>
  <c r="F34" i="1"/>
  <c r="E34" i="1"/>
  <c r="D34" i="1"/>
  <c r="C34" i="1"/>
  <c r="B34" i="1"/>
  <c r="A34" i="1"/>
  <c r="M33" i="1"/>
  <c r="L33" i="1"/>
  <c r="K33" i="1"/>
  <c r="J33" i="1"/>
  <c r="G33" i="1"/>
  <c r="F33" i="1"/>
  <c r="E33" i="1"/>
  <c r="D33" i="1"/>
  <c r="C33" i="1"/>
  <c r="B33" i="1"/>
  <c r="A33" i="1"/>
  <c r="M32" i="1"/>
  <c r="L32" i="1"/>
  <c r="K32" i="1"/>
  <c r="J32" i="1"/>
  <c r="G32" i="1"/>
  <c r="F32" i="1"/>
  <c r="E32" i="1"/>
  <c r="D32" i="1"/>
  <c r="C32" i="1"/>
  <c r="B32" i="1"/>
  <c r="A32" i="1"/>
  <c r="I29" i="1"/>
  <c r="H29" i="1"/>
  <c r="M28" i="1"/>
  <c r="L28" i="1"/>
  <c r="K28" i="1"/>
  <c r="J28" i="1"/>
  <c r="G28" i="1"/>
  <c r="F28" i="1"/>
  <c r="E28" i="1"/>
  <c r="D28" i="1"/>
  <c r="C28" i="1"/>
  <c r="B28" i="1"/>
  <c r="A28" i="1"/>
  <c r="L27" i="1"/>
  <c r="K27" i="1"/>
  <c r="J27" i="1"/>
  <c r="G27" i="1"/>
  <c r="F27" i="1"/>
  <c r="E27" i="1"/>
  <c r="D27" i="1"/>
  <c r="C27" i="1"/>
  <c r="B27" i="1"/>
  <c r="A27" i="1"/>
  <c r="M24" i="1"/>
  <c r="M23" i="1"/>
  <c r="M22" i="1"/>
  <c r="L22" i="1"/>
  <c r="K22" i="1"/>
  <c r="J22" i="1"/>
  <c r="G22" i="1"/>
  <c r="F22" i="1"/>
  <c r="E22" i="1"/>
  <c r="D22" i="1"/>
  <c r="C22" i="1"/>
  <c r="B22" i="1"/>
  <c r="A22" i="1"/>
  <c r="M21" i="1"/>
  <c r="L21" i="1"/>
  <c r="K21" i="1"/>
  <c r="J21" i="1"/>
  <c r="G21" i="1"/>
  <c r="F21" i="1"/>
  <c r="E21" i="1"/>
  <c r="D21" i="1"/>
  <c r="C21" i="1"/>
  <c r="B21" i="1"/>
  <c r="A21" i="1"/>
  <c r="L20" i="1"/>
  <c r="K20" i="1"/>
  <c r="J20" i="1"/>
  <c r="G20" i="1"/>
  <c r="F20" i="1"/>
  <c r="E20" i="1"/>
  <c r="D20" i="1"/>
  <c r="C20" i="1"/>
  <c r="B20" i="1"/>
  <c r="I18" i="1"/>
  <c r="H18" i="1"/>
  <c r="H23" i="1" s="1"/>
  <c r="M17" i="1"/>
  <c r="L17" i="1"/>
  <c r="K17" i="1"/>
  <c r="J17" i="1"/>
  <c r="G17" i="1"/>
  <c r="F17" i="1"/>
  <c r="E17" i="1"/>
  <c r="D17" i="1"/>
  <c r="C17" i="1"/>
  <c r="B17" i="1"/>
  <c r="A17" i="1"/>
  <c r="M16" i="1"/>
  <c r="L16" i="1"/>
  <c r="K16" i="1"/>
  <c r="J16" i="1"/>
  <c r="G16" i="1"/>
  <c r="F16" i="1"/>
  <c r="E16" i="1"/>
  <c r="D16" i="1"/>
  <c r="C16" i="1"/>
  <c r="B16" i="1"/>
  <c r="A16" i="1"/>
  <c r="M15" i="1"/>
  <c r="A15" i="1"/>
  <c r="J318" i="2" l="1"/>
  <c r="I23" i="1"/>
  <c r="I1282" i="1" s="1"/>
  <c r="I35" i="1"/>
  <c r="H1282" i="1"/>
</calcChain>
</file>

<file path=xl/sharedStrings.xml><?xml version="1.0" encoding="utf-8"?>
<sst xmlns="http://schemas.openxmlformats.org/spreadsheetml/2006/main" count="131" uniqueCount="50">
  <si>
    <t>Fund: 10</t>
  </si>
  <si>
    <t>Agency: 066</t>
  </si>
  <si>
    <t>Fr LineSeq: 3010106</t>
  </si>
  <si>
    <t>To LineSeq: 3010106</t>
  </si>
  <si>
    <t>Fr Source: 03</t>
  </si>
  <si>
    <t>To Source: 03</t>
  </si>
  <si>
    <t>Fr Natural Acct: 600000</t>
  </si>
  <si>
    <t>To Natural Acct: 699999</t>
  </si>
  <si>
    <t>Fr Project: 00000</t>
  </si>
  <si>
    <t>To Project: ZZZZZ</t>
  </si>
  <si>
    <t>Fr Date: 07012010</t>
  </si>
  <si>
    <t>To Date: 06302017</t>
  </si>
  <si>
    <t xml:space="preserve">Account Source: </t>
  </si>
  <si>
    <t>Status:        FS</t>
  </si>
  <si>
    <t>Fund</t>
  </si>
  <si>
    <t>Agency</t>
  </si>
  <si>
    <t>LineSequence</t>
  </si>
  <si>
    <t>Source</t>
  </si>
  <si>
    <t>Natural Account</t>
  </si>
  <si>
    <t>Posted Date</t>
  </si>
  <si>
    <t>Document Id</t>
  </si>
  <si>
    <t>Amount</t>
  </si>
  <si>
    <t>Vendor Name</t>
  </si>
  <si>
    <t>PO #</t>
  </si>
  <si>
    <t>Description</t>
  </si>
  <si>
    <t>Entered By</t>
  </si>
  <si>
    <t>="LAPEL PIN (3/4" ROUND, 2mm THICK)"</t>
  </si>
  <si>
    <t>="CHALLENGE COIN (1 3/4" ROUND, 3mm THICK)"</t>
  </si>
  <si>
    <t>="MPA #364 7/1/14-6/30/15 - 4" VINYL BASE COVE - WHERE NEEDED - PRICE PER LINEAR FOOT INSTALLED"</t>
  </si>
  <si>
    <t>="MPA #364 7/1/14-6/30/15 - REMOVAL OF "BUILT-UP" VINYL FLOOR:  IF EXISTING FLOOR HAS MORE THAN ON LAYER OF SUB-FLOOR AND VINYL FLOORING - ALL MATERIAL ABOVE THE FIRST LAYER OF VINYL FLOORING"</t>
  </si>
  <si>
    <t>="MPA #364 7/1/14-6/30/15 VINYL COMPOSITIONTILES (VCT) - ARMSTRONG STANDARD EXCELLON OR EQUAL (1/8" X 12" X 12")"</t>
  </si>
  <si>
    <t>="APA-7372 - 7/1/15-6/30/16 180 SOUTH MAIN ST- MONTHLY PRICE FOR SERVICES DESCRIBED IN ATTACHMENT "B" AS ROUTINE SERVICES I.E. DAILY, WEEKLY, MONTHLY, YEARLY.  INCLUDES DAY PORTER SERVICES (9A"</t>
  </si>
  <si>
    <t>="APA-7372 - 7/1/16-6/30/17 180 SOUTH MAIN ST- MONTHLY PRICE FOR SERVICES DESCRIBED IN ATTACHMENT "B" AS ROUTINE SERVICES I.E. DAILY, WEEKLY, MONTHLY, YEARLY.  INCLUDES DAY PORTER SERVICES (9A"</t>
  </si>
  <si>
    <t>="APA-7372 - 8/1/14-6/30/15 180 SOUTH MAIN ST- MONTHLY PRICE FOR SERVICES DESCRIBED IN ATTACHMENT "B" AS ROUTINE SERVICES I.E. DAILY, WEEKLY, MONTHLY, YEARLY.  INCLUDES DAY PORTER SERVICES (9A"</t>
  </si>
  <si>
    <t>="Cisco Sourcefire Install, Configuration and Implementation - Not part of Original RFP - Award 3405235 -COMPLETE;"CONVERGED" TECHNICAL INFRASTRUCTURE SOLUTION"</t>
  </si>
  <si>
    <t>="APA-14783 12/1/14-11/30/19 - COMPLETE "CONVERGED" TECHNICAL INFRASTRUCTURE SOLUTION COMPRISED OF HARDWARE, SOFTWARE, VDI, LAN SECURITY, &amp; NEW SAN MANAGEMENT TOOLS IN ACCORDANCE WITH ALL THE"</t>
  </si>
  <si>
    <t>Fr Lin/Seq: 3005118</t>
  </si>
  <si>
    <t>To Lin/Seq: 3005118</t>
  </si>
  <si>
    <t>Fr Source: 02</t>
  </si>
  <si>
    <t>To Source: 02</t>
  </si>
  <si>
    <t>Fr Natural Acct: 000000</t>
  </si>
  <si>
    <t>To Natural Acct: 999999</t>
  </si>
  <si>
    <t>Fr Date: 07012017</t>
  </si>
  <si>
    <t>To Date: 01312018</t>
  </si>
  <si>
    <t>Fiscal Year</t>
  </si>
  <si>
    <t>Project</t>
  </si>
  <si>
    <t>Final Status Posted Date</t>
  </si>
  <si>
    <t>="CHALLENGE COIN (1 3/4" ROUND, 3MM THICK)"</t>
  </si>
  <si>
    <t>="CUFF LINKS (2 EACH)  3/4" ROUND, 3MM THICK"</t>
  </si>
  <si>
    <t>="APA-17092  FY17  MICROSOFT BRANDED "COMPLETE FOR BUSINESS SUPPORT";NTE $ 83.10"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</si>
</sst>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Fill="1"/>
    <xf numFmtId="0" fontId="0" fillId="0" borderId="0" xfId="0" applyAlignment="1">
      <alignment wrapText="1"/>
    </xf>
    <xf numFmtId="8" fontId="0" fillId="0" borderId="0" xfId="0" applyNumberFormat="1" applyFill="1"/>
    <xf numFmtId="8" fontId="0" fillId="0" borderId="0" xfId="0" applyNumberFormat="1"/>
    <xf numFmtId="8" fontId="1" fillId="0" borderId="0" xfId="0" applyNumberFormat="1" applyFont="1"/>
    <xf numFmtId="8" fontId="1" fillId="0" borderId="0" xfId="0" applyNumberFormat="1" applyFont="1" applyFill="1"/>
    <xf numFmtId="8" fontId="0" fillId="0" borderId="0" xfId="0" applyNumberFormat="1" applyFont="1" applyFill="1"/>
    <xf numFmtId="0" fontId="0" fillId="2" borderId="0" xfId="0" applyFill="1"/>
    <xf numFmtId="44" fontId="1"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4"/>
  <sheetViews>
    <sheetView tabSelected="1" topLeftCell="A1245" workbookViewId="0">
      <selection activeCell="G14" sqref="G14"/>
    </sheetView>
  </sheetViews>
  <sheetFormatPr defaultRowHeight="15" x14ac:dyDescent="0.25"/>
  <cols>
    <col min="1" max="1" width="15.7109375" customWidth="1"/>
    <col min="2" max="2" width="3.85546875" customWidth="1"/>
    <col min="4" max="4" width="3.5703125" customWidth="1"/>
    <col min="5" max="5" width="7.28515625" customWidth="1"/>
    <col min="7" max="7" width="20" customWidth="1"/>
    <col min="8" max="8" width="14.5703125" bestFit="1" customWidth="1"/>
    <col min="9" max="9" width="14.5703125" style="1" customWidth="1"/>
    <col min="10" max="10" width="30.7109375" customWidth="1"/>
    <col min="12" max="12" width="84.85546875" customWidth="1"/>
  </cols>
  <sheetData>
    <row r="1" spans="1:13" x14ac:dyDescent="0.25">
      <c r="A1" t="s">
        <v>0</v>
      </c>
      <c r="B1" t="s">
        <v>1</v>
      </c>
    </row>
    <row r="2" spans="1:13" x14ac:dyDescent="0.25">
      <c r="A2" t="s">
        <v>2</v>
      </c>
      <c r="B2" t="s">
        <v>3</v>
      </c>
    </row>
    <row r="3" spans="1:13" x14ac:dyDescent="0.25">
      <c r="A3" t="s">
        <v>4</v>
      </c>
      <c r="B3" t="s">
        <v>5</v>
      </c>
    </row>
    <row r="4" spans="1:13" x14ac:dyDescent="0.25">
      <c r="A4" t="s">
        <v>6</v>
      </c>
      <c r="B4" t="s">
        <v>7</v>
      </c>
    </row>
    <row r="5" spans="1:13" x14ac:dyDescent="0.25">
      <c r="A5" t="s">
        <v>8</v>
      </c>
      <c r="B5" t="s">
        <v>9</v>
      </c>
    </row>
    <row r="6" spans="1:13" x14ac:dyDescent="0.25">
      <c r="A6" t="s">
        <v>10</v>
      </c>
      <c r="B6" t="s">
        <v>11</v>
      </c>
    </row>
    <row r="7" spans="1:13" x14ac:dyDescent="0.25">
      <c r="A7" t="s">
        <v>12</v>
      </c>
    </row>
    <row r="8" spans="1:13" x14ac:dyDescent="0.25">
      <c r="A8" t="s">
        <v>13</v>
      </c>
    </row>
    <row r="10" spans="1:13" x14ac:dyDescent="0.25">
      <c r="A10" t="s">
        <v>14</v>
      </c>
      <c r="B10" t="s">
        <v>15</v>
      </c>
      <c r="C10" t="s">
        <v>16</v>
      </c>
      <c r="D10" t="s">
        <v>17</v>
      </c>
      <c r="E10" t="s">
        <v>18</v>
      </c>
      <c r="F10" t="s">
        <v>19</v>
      </c>
      <c r="G10" t="s">
        <v>20</v>
      </c>
      <c r="H10" t="s">
        <v>21</v>
      </c>
      <c r="J10" t="s">
        <v>22</v>
      </c>
      <c r="K10" t="s">
        <v>23</v>
      </c>
      <c r="L10" t="s">
        <v>24</v>
      </c>
      <c r="M10" t="s">
        <v>25</v>
      </c>
    </row>
    <row r="11" spans="1:13" x14ac:dyDescent="0.25">
      <c r="L11" s="2"/>
    </row>
    <row r="15" spans="1:13" x14ac:dyDescent="0.25">
      <c r="A15" t="str">
        <f t="shared" ref="A15:A1051" si="0">"10"</f>
        <v>10</v>
      </c>
      <c r="M15" t="str">
        <f t="shared" ref="M15:M24" si="1">"MFUSCO"</f>
        <v>MFUSCO</v>
      </c>
    </row>
    <row r="16" spans="1:13" x14ac:dyDescent="0.25">
      <c r="A16" t="str">
        <f t="shared" si="0"/>
        <v>10</v>
      </c>
      <c r="B16" t="str">
        <f t="shared" ref="B16:B1256" si="2">"066"</f>
        <v>066</v>
      </c>
      <c r="C16" t="str">
        <f t="shared" ref="C16:C1256" si="3">"3010106"</f>
        <v>3010106</v>
      </c>
      <c r="D16" t="str">
        <f t="shared" ref="D16:D1256" si="4">"03"</f>
        <v>03</v>
      </c>
      <c r="E16" t="str">
        <f>"643200"</f>
        <v>643200</v>
      </c>
      <c r="F16" t="str">
        <f>"06/15/17"</f>
        <v>06/15/17</v>
      </c>
      <c r="G16" t="str">
        <f>"J17066MEF0589"</f>
        <v>J17066MEF0589</v>
      </c>
      <c r="H16" s="3">
        <v>100</v>
      </c>
      <c r="I16" s="3"/>
      <c r="J16" t="str">
        <f>""</f>
        <v/>
      </c>
      <c r="K16" t="str">
        <f>""</f>
        <v/>
      </c>
      <c r="L16" s="2" t="str">
        <f>"2016 RIPDES PERMIT FOR 4 HOWARD AVENUE"</f>
        <v>2016 RIPDES PERMIT FOR 4 HOWARD AVENUE</v>
      </c>
      <c r="M16" t="str">
        <f t="shared" si="1"/>
        <v>MFUSCO</v>
      </c>
    </row>
    <row r="17" spans="1:13" x14ac:dyDescent="0.25">
      <c r="A17" t="str">
        <f t="shared" si="0"/>
        <v>10</v>
      </c>
      <c r="B17" t="str">
        <f t="shared" si="2"/>
        <v>066</v>
      </c>
      <c r="C17" t="str">
        <f t="shared" si="3"/>
        <v>3010106</v>
      </c>
      <c r="D17" t="str">
        <f t="shared" si="4"/>
        <v>03</v>
      </c>
      <c r="E17" t="str">
        <f>"643200"</f>
        <v>643200</v>
      </c>
      <c r="F17" t="str">
        <f>"12/08/16"</f>
        <v>12/08/16</v>
      </c>
      <c r="G17" t="str">
        <f>"J17066MEF0260"</f>
        <v>J17066MEF0260</v>
      </c>
      <c r="H17" s="3">
        <v>500</v>
      </c>
      <c r="I17" s="3"/>
      <c r="J17" t="str">
        <f>""</f>
        <v/>
      </c>
      <c r="K17" t="str">
        <f>""</f>
        <v/>
      </c>
      <c r="L17" s="2" t="str">
        <f>"FIRE SAFETY CODE BOARD-APPEAL FEE"</f>
        <v>FIRE SAFETY CODE BOARD-APPEAL FEE</v>
      </c>
      <c r="M17" t="str">
        <f t="shared" si="1"/>
        <v>MFUSCO</v>
      </c>
    </row>
    <row r="18" spans="1:13" x14ac:dyDescent="0.25">
      <c r="H18" s="6">
        <f>SUM(H16:H17)</f>
        <v>600</v>
      </c>
      <c r="I18" s="6">
        <f>SUM(H16:H17)</f>
        <v>600</v>
      </c>
      <c r="L18" s="2"/>
    </row>
    <row r="19" spans="1:13" x14ac:dyDescent="0.25">
      <c r="H19" s="3"/>
      <c r="I19" s="3"/>
      <c r="L19" s="2"/>
    </row>
    <row r="20" spans="1:13" x14ac:dyDescent="0.25">
      <c r="B20" t="str">
        <f t="shared" ref="B20:B1051" si="5">"066"</f>
        <v>066</v>
      </c>
      <c r="C20" t="str">
        <f t="shared" ref="C20:C1051" si="6">"3010106"</f>
        <v>3010106</v>
      </c>
      <c r="D20" t="str">
        <f t="shared" ref="D20:D1051" si="7">"03"</f>
        <v>03</v>
      </c>
      <c r="E20" t="str">
        <f>"638200"</f>
        <v>638200</v>
      </c>
      <c r="F20" t="str">
        <f>"02/17/17"</f>
        <v>02/17/17</v>
      </c>
      <c r="G20" t="str">
        <f>"J17066MEF0418"</f>
        <v>J17066MEF0418</v>
      </c>
      <c r="H20" s="4">
        <v>-40</v>
      </c>
      <c r="I20" s="3"/>
      <c r="J20" t="str">
        <f>""</f>
        <v/>
      </c>
      <c r="K20" t="str">
        <f>""</f>
        <v/>
      </c>
      <c r="L20" s="2" t="str">
        <f>"ADJUSTMENTS TO PROPER ACCOUNT"</f>
        <v>ADJUSTMENTS TO PROPER ACCOUNT</v>
      </c>
    </row>
    <row r="21" spans="1:13" x14ac:dyDescent="0.25">
      <c r="A21" t="str">
        <f t="shared" si="0"/>
        <v>10</v>
      </c>
      <c r="B21" t="str">
        <f t="shared" si="2"/>
        <v>066</v>
      </c>
      <c r="C21" t="str">
        <f t="shared" si="3"/>
        <v>3010106</v>
      </c>
      <c r="D21" t="str">
        <f t="shared" si="4"/>
        <v>03</v>
      </c>
      <c r="E21" t="str">
        <f>"644700"</f>
        <v>644700</v>
      </c>
      <c r="F21" t="str">
        <f>"02/17/17"</f>
        <v>02/17/17</v>
      </c>
      <c r="G21" t="str">
        <f>"J17066MEF0418"</f>
        <v>J17066MEF0418</v>
      </c>
      <c r="H21" s="4">
        <v>61.37</v>
      </c>
      <c r="I21" s="3"/>
      <c r="J21" t="str">
        <f>""</f>
        <v/>
      </c>
      <c r="K21" t="str">
        <f>""</f>
        <v/>
      </c>
      <c r="L21" s="2" t="str">
        <f>"ADJUSTMENTS TO PROPER ACCOUNT"</f>
        <v>ADJUSTMENTS TO PROPER ACCOUNT</v>
      </c>
      <c r="M21" t="str">
        <f t="shared" si="1"/>
        <v>MFUSCO</v>
      </c>
    </row>
    <row r="22" spans="1:13" x14ac:dyDescent="0.25">
      <c r="A22" t="str">
        <f t="shared" si="0"/>
        <v>10</v>
      </c>
      <c r="B22" t="str">
        <f t="shared" si="2"/>
        <v>066</v>
      </c>
      <c r="C22" t="str">
        <f t="shared" si="3"/>
        <v>3010106</v>
      </c>
      <c r="D22" t="str">
        <f t="shared" si="4"/>
        <v>03</v>
      </c>
      <c r="E22" t="str">
        <f>"644700"</f>
        <v>644700</v>
      </c>
      <c r="F22" t="str">
        <f>"02/17/17"</f>
        <v>02/17/17</v>
      </c>
      <c r="G22" t="str">
        <f>"J17066MEF0418"</f>
        <v>J17066MEF0418</v>
      </c>
      <c r="H22" s="4">
        <v>122.76</v>
      </c>
      <c r="I22" s="3"/>
      <c r="J22" t="str">
        <f>""</f>
        <v/>
      </c>
      <c r="K22" t="str">
        <f>""</f>
        <v/>
      </c>
      <c r="L22" s="2" t="str">
        <f>"ADJUSTMENTS TO PROPER ACCOUNT"</f>
        <v>ADJUSTMENTS TO PROPER ACCOUNT</v>
      </c>
      <c r="M22" t="str">
        <f t="shared" si="1"/>
        <v>MFUSCO</v>
      </c>
    </row>
    <row r="23" spans="1:13" x14ac:dyDescent="0.25">
      <c r="H23" s="6">
        <f>SUM(H16:H22)</f>
        <v>1344.1299999999999</v>
      </c>
      <c r="I23" s="6">
        <f>SUM(H16:H22)</f>
        <v>1344.1299999999999</v>
      </c>
      <c r="M23" t="str">
        <f t="shared" si="1"/>
        <v>MFUSCO</v>
      </c>
    </row>
    <row r="24" spans="1:13" x14ac:dyDescent="0.25">
      <c r="H24" s="6"/>
      <c r="I24" s="6"/>
      <c r="L24" s="2"/>
      <c r="M24" t="str">
        <f t="shared" si="1"/>
        <v>MFUSCO</v>
      </c>
    </row>
    <row r="25" spans="1:13" x14ac:dyDescent="0.25">
      <c r="H25" s="3"/>
      <c r="I25" s="3"/>
      <c r="L25" s="2"/>
    </row>
    <row r="26" spans="1:13" x14ac:dyDescent="0.25">
      <c r="H26" s="3"/>
      <c r="I26" s="3"/>
      <c r="L26" s="2"/>
    </row>
    <row r="27" spans="1:13" ht="30" x14ac:dyDescent="0.25">
      <c r="A27" t="str">
        <f t="shared" si="0"/>
        <v>10</v>
      </c>
      <c r="B27" t="str">
        <f t="shared" si="2"/>
        <v>066</v>
      </c>
      <c r="C27" t="str">
        <f t="shared" si="3"/>
        <v>3010106</v>
      </c>
      <c r="D27" t="str">
        <f t="shared" si="4"/>
        <v>03</v>
      </c>
      <c r="E27" t="str">
        <f>"643110"</f>
        <v>643110</v>
      </c>
      <c r="F27" t="str">
        <f>"04/16/15"</f>
        <v>04/16/15</v>
      </c>
      <c r="G27" t="str">
        <f>"J15077DAB056"</f>
        <v>J15077DAB056</v>
      </c>
      <c r="H27" s="3">
        <v>96385.29</v>
      </c>
      <c r="I27" s="3"/>
      <c r="J27" t="str">
        <f>""</f>
        <v/>
      </c>
      <c r="K27" t="str">
        <f>""</f>
        <v/>
      </c>
      <c r="L27" s="2" t="str">
        <f>"SALES PER S/O 0549-5, 0590-5 (ATTORNEY GENERAL FURNITURE - LICHT COURTHOUSE PHASE I &amp; II))"</f>
        <v>SALES PER S/O 0549-5, 0590-5 (ATTORNEY GENERAL FURNITURE - LICHT COURTHOUSE PHASE I &amp; II))</v>
      </c>
    </row>
    <row r="28" spans="1:13" x14ac:dyDescent="0.25">
      <c r="A28" t="str">
        <f t="shared" si="0"/>
        <v>10</v>
      </c>
      <c r="B28" t="str">
        <f t="shared" si="5"/>
        <v>066</v>
      </c>
      <c r="C28" t="str">
        <f t="shared" si="6"/>
        <v>3010106</v>
      </c>
      <c r="D28" t="str">
        <f t="shared" si="7"/>
        <v>03</v>
      </c>
      <c r="E28" t="str">
        <f>"638400"</f>
        <v>638400</v>
      </c>
      <c r="F28" t="str">
        <f>"06/29/15"</f>
        <v>06/29/15</v>
      </c>
      <c r="G28" t="str">
        <f>"J15077DAB074"</f>
        <v>J15077DAB074</v>
      </c>
      <c r="H28" s="3">
        <v>24600</v>
      </c>
      <c r="I28" s="3"/>
      <c r="J28" t="str">
        <f>""</f>
        <v/>
      </c>
      <c r="K28" t="str">
        <f>""</f>
        <v/>
      </c>
      <c r="L28" s="2" t="str">
        <f>"SALES PER S/O 1015-5"</f>
        <v>SALES PER S/O 1015-5</v>
      </c>
      <c r="M28" t="str">
        <f>"DBOYLE"</f>
        <v>DBOYLE</v>
      </c>
    </row>
    <row r="29" spans="1:13" x14ac:dyDescent="0.25">
      <c r="H29" s="6">
        <f>SUM(H27:H28)</f>
        <v>120985.29</v>
      </c>
      <c r="I29" s="6">
        <f>SUM(H27:H28)</f>
        <v>120985.29</v>
      </c>
      <c r="L29" s="2"/>
    </row>
    <row r="30" spans="1:13" x14ac:dyDescent="0.25">
      <c r="H30" s="3"/>
      <c r="I30" s="3"/>
      <c r="L30" s="2"/>
    </row>
    <row r="31" spans="1:13" x14ac:dyDescent="0.25">
      <c r="H31" s="3"/>
      <c r="I31" s="3"/>
      <c r="L31" s="2"/>
    </row>
    <row r="32" spans="1:13" x14ac:dyDescent="0.25">
      <c r="A32" t="str">
        <f t="shared" si="0"/>
        <v>10</v>
      </c>
      <c r="B32" t="str">
        <f t="shared" si="2"/>
        <v>066</v>
      </c>
      <c r="C32" t="str">
        <f t="shared" si="3"/>
        <v>3010106</v>
      </c>
      <c r="D32" t="str">
        <f t="shared" si="4"/>
        <v>03</v>
      </c>
      <c r="E32" t="str">
        <f>"643110"</f>
        <v>643110</v>
      </c>
      <c r="F32" t="str">
        <f>"06/17/14"</f>
        <v>06/17/14</v>
      </c>
      <c r="G32" t="str">
        <f>"J14077DAB063"</f>
        <v>J14077DAB063</v>
      </c>
      <c r="H32" s="3">
        <v>750</v>
      </c>
      <c r="I32" s="3"/>
      <c r="J32" t="str">
        <f>""</f>
        <v/>
      </c>
      <c r="K32" t="str">
        <f>""</f>
        <v/>
      </c>
      <c r="L32" s="2" t="str">
        <f>"SALES PER S/O 0782-4"</f>
        <v>SALES PER S/O 0782-4</v>
      </c>
      <c r="M32" t="str">
        <f>"DBOYLE"</f>
        <v>DBOYLE</v>
      </c>
    </row>
    <row r="33" spans="1:13" x14ac:dyDescent="0.25">
      <c r="A33" t="str">
        <f t="shared" si="0"/>
        <v>10</v>
      </c>
      <c r="B33" t="str">
        <f t="shared" si="2"/>
        <v>066</v>
      </c>
      <c r="C33" t="str">
        <f t="shared" si="3"/>
        <v>3010106</v>
      </c>
      <c r="D33" t="str">
        <f t="shared" si="4"/>
        <v>03</v>
      </c>
      <c r="E33" t="str">
        <f>"643621"</f>
        <v>643621</v>
      </c>
      <c r="F33" t="str">
        <f>"01/06/14"</f>
        <v>01/06/14</v>
      </c>
      <c r="G33" t="str">
        <f>"J14077DAB024"</f>
        <v>J14077DAB024</v>
      </c>
      <c r="H33" s="3">
        <v>1890</v>
      </c>
      <c r="I33" s="3"/>
      <c r="J33" t="str">
        <f>""</f>
        <v/>
      </c>
      <c r="K33" t="str">
        <f>""</f>
        <v/>
      </c>
      <c r="L33" s="2" t="str">
        <f>"SALES PER S/O 0371-4"</f>
        <v>SALES PER S/O 0371-4</v>
      </c>
      <c r="M33" t="str">
        <f>"DBOYLE"</f>
        <v>DBOYLE</v>
      </c>
    </row>
    <row r="34" spans="1:13" x14ac:dyDescent="0.25">
      <c r="A34" t="str">
        <f t="shared" si="0"/>
        <v>10</v>
      </c>
      <c r="B34" t="str">
        <f t="shared" si="2"/>
        <v>066</v>
      </c>
      <c r="C34" t="str">
        <f t="shared" si="3"/>
        <v>3010106</v>
      </c>
      <c r="D34" t="str">
        <f t="shared" si="4"/>
        <v>03</v>
      </c>
      <c r="E34" t="str">
        <f>"643700"</f>
        <v>643700</v>
      </c>
      <c r="F34" t="str">
        <f>"11/17/14"</f>
        <v>11/17/14</v>
      </c>
      <c r="G34" t="str">
        <f>"J15077DAB020"</f>
        <v>J15077DAB020</v>
      </c>
      <c r="H34" s="3">
        <v>307198.26</v>
      </c>
      <c r="I34" s="3"/>
      <c r="J34" t="str">
        <f>""</f>
        <v/>
      </c>
      <c r="K34" t="str">
        <f>""</f>
        <v/>
      </c>
      <c r="L34" s="2" t="str">
        <f>"SALES PER S/O 0194-5 (ATTORNEY GENERAL FURNITURE PROJECT)"</f>
        <v>SALES PER S/O 0194-5 (ATTORNEY GENERAL FURNITURE PROJECT)</v>
      </c>
      <c r="M34" t="str">
        <f>"DBOYLE"</f>
        <v>DBOYLE</v>
      </c>
    </row>
    <row r="35" spans="1:13" x14ac:dyDescent="0.25">
      <c r="H35" s="6">
        <f>SUM(H27:H34)</f>
        <v>551808.84</v>
      </c>
      <c r="I35" s="6">
        <f>SUM(H27:H34)</f>
        <v>551808.84</v>
      </c>
      <c r="M35" t="str">
        <f>"DBOYLE"</f>
        <v>DBOYLE</v>
      </c>
    </row>
    <row r="36" spans="1:13" x14ac:dyDescent="0.25">
      <c r="H36" s="1"/>
    </row>
    <row r="37" spans="1:13" x14ac:dyDescent="0.25">
      <c r="H37" s="1"/>
    </row>
    <row r="38" spans="1:13" x14ac:dyDescent="0.25">
      <c r="H38" s="4"/>
      <c r="I38" s="3"/>
      <c r="L38" s="2"/>
    </row>
    <row r="39" spans="1:13" x14ac:dyDescent="0.25">
      <c r="H39" s="4"/>
      <c r="I39" s="3"/>
      <c r="L39" s="2"/>
    </row>
    <row r="40" spans="1:13" ht="30" x14ac:dyDescent="0.25">
      <c r="A40" t="str">
        <f>"10"</f>
        <v>10</v>
      </c>
      <c r="B40" t="str">
        <f>"066"</f>
        <v>066</v>
      </c>
      <c r="C40" t="str">
        <f>"3010106"</f>
        <v>3010106</v>
      </c>
      <c r="D40" t="str">
        <f>"03"</f>
        <v>03</v>
      </c>
      <c r="E40" t="str">
        <f>"639600"</f>
        <v>639600</v>
      </c>
      <c r="F40" t="str">
        <f>"05/31/17"</f>
        <v>05/31/17</v>
      </c>
      <c r="G40" t="str">
        <f>"11215"</f>
        <v>11215</v>
      </c>
      <c r="H40" s="4">
        <v>150</v>
      </c>
      <c r="I40" s="3"/>
      <c r="J40" t="str">
        <f>"A &amp; P FIRE SYSTEMS LLC"</f>
        <v>A &amp; P FIRE SYSTEMS LLC</v>
      </c>
      <c r="K40" t="str">
        <f>"3354415"</f>
        <v>3354415</v>
      </c>
      <c r="L40" s="2" t="str">
        <f>"APA-7884 1/1/16-12/31/16 QUARTERLY INSPECTION AND TESTING FOR FIRE ALARM SYSTEM AND SPRINKLER SYSTEM"</f>
        <v>APA-7884 1/1/16-12/31/16 QUARTERLY INSPECTION AND TESTING FOR FIRE ALARM SYSTEM AND SPRINKLER SYSTEM</v>
      </c>
    </row>
    <row r="41" spans="1:13" x14ac:dyDescent="0.25">
      <c r="A41" t="str">
        <f>"10"</f>
        <v>10</v>
      </c>
      <c r="B41" t="str">
        <f>"066"</f>
        <v>066</v>
      </c>
      <c r="C41" t="str">
        <f>"3010106"</f>
        <v>3010106</v>
      </c>
      <c r="D41" t="str">
        <f>"03"</f>
        <v>03</v>
      </c>
      <c r="E41" t="str">
        <f>"639600"</f>
        <v>639600</v>
      </c>
      <c r="F41" t="str">
        <f>"05/31/17"</f>
        <v>05/31/17</v>
      </c>
      <c r="G41" t="str">
        <f>"11215"</f>
        <v>11215</v>
      </c>
      <c r="H41" s="4">
        <v>6</v>
      </c>
      <c r="I41" s="3"/>
      <c r="J41" t="str">
        <f>"A &amp; P FIRE SYSTEMS LLC"</f>
        <v>A &amp; P FIRE SYSTEMS LLC</v>
      </c>
      <c r="K41" t="str">
        <f>"3354415"</f>
        <v>3354415</v>
      </c>
      <c r="L41" s="2" t="str">
        <f>"APA-7884 1/1/14-12/31/16 PARTS AT MANUFACTURER'S LIST PRICE LESS 20%"</f>
        <v>APA-7884 1/1/14-12/31/16 PARTS AT MANUFACTURER'S LIST PRICE LESS 20%</v>
      </c>
      <c r="M41" t="str">
        <f>"SVALLANT"</f>
        <v>SVALLANT</v>
      </c>
    </row>
    <row r="42" spans="1:13" x14ac:dyDescent="0.25">
      <c r="A42" t="str">
        <f>"10"</f>
        <v>10</v>
      </c>
      <c r="B42" t="str">
        <f>"066"</f>
        <v>066</v>
      </c>
      <c r="C42" t="str">
        <f>"3010106"</f>
        <v>3010106</v>
      </c>
      <c r="D42" t="str">
        <f>"03"</f>
        <v>03</v>
      </c>
      <c r="E42" t="str">
        <f>"639600"</f>
        <v>639600</v>
      </c>
      <c r="F42" t="str">
        <f>"12/31/16"</f>
        <v>12/31/16</v>
      </c>
      <c r="G42" t="str">
        <f>"10813"</f>
        <v>10813</v>
      </c>
      <c r="H42" s="4">
        <v>6</v>
      </c>
      <c r="I42" s="3"/>
      <c r="J42" t="str">
        <f>"A &amp; P FIRE SYSTEMS LLC"</f>
        <v>A &amp; P FIRE SYSTEMS LLC</v>
      </c>
      <c r="K42" t="str">
        <f>"3354415"</f>
        <v>3354415</v>
      </c>
      <c r="L42" s="2" t="str">
        <f>"APA-7884 1/1/14-12/31/16 PARTS AT MANUFACTURER'S LIST PRICE LESS 20%"</f>
        <v>APA-7884 1/1/14-12/31/16 PARTS AT MANUFACTURER'S LIST PRICE LESS 20%</v>
      </c>
      <c r="M42" t="str">
        <f>"SVALLANT"</f>
        <v>SVALLANT</v>
      </c>
    </row>
    <row r="43" spans="1:13" ht="30" x14ac:dyDescent="0.25">
      <c r="A43" t="str">
        <f>"10"</f>
        <v>10</v>
      </c>
      <c r="B43" t="str">
        <f>"066"</f>
        <v>066</v>
      </c>
      <c r="C43" t="str">
        <f>"3010106"</f>
        <v>3010106</v>
      </c>
      <c r="D43" t="str">
        <f>"03"</f>
        <v>03</v>
      </c>
      <c r="E43" t="str">
        <f>"639600"</f>
        <v>639600</v>
      </c>
      <c r="F43" t="str">
        <f>"12/31/16"</f>
        <v>12/31/16</v>
      </c>
      <c r="G43" t="str">
        <f>"10813"</f>
        <v>10813</v>
      </c>
      <c r="H43" s="4">
        <v>100</v>
      </c>
      <c r="I43" s="3"/>
      <c r="J43" t="str">
        <f>"A &amp; P FIRE SYSTEMS LLC"</f>
        <v>A &amp; P FIRE SYSTEMS LLC</v>
      </c>
      <c r="K43" t="str">
        <f>"3354415"</f>
        <v>3354415</v>
      </c>
      <c r="L43" s="2" t="str">
        <f>"APA-7884 1/1/16-12/31/16 QUARTERLY INSPECTION AND TESTING FOR FIRE ALARM SYSTEM AND SPRINKLER SYSTEM"</f>
        <v>APA-7884 1/1/16-12/31/16 QUARTERLY INSPECTION AND TESTING FOR FIRE ALARM SYSTEM AND SPRINKLER SYSTEM</v>
      </c>
      <c r="M43" t="str">
        <f>"SVALLANT"</f>
        <v>SVALLANT</v>
      </c>
    </row>
    <row r="44" spans="1:13" x14ac:dyDescent="0.25">
      <c r="H44" s="6">
        <f>SUM(H40:H43)</f>
        <v>262</v>
      </c>
      <c r="I44" s="6">
        <f>SUM(H40:H43)</f>
        <v>262</v>
      </c>
      <c r="L44" s="2"/>
      <c r="M44" t="str">
        <f>"SVALLANT"</f>
        <v>SVALLANT</v>
      </c>
    </row>
    <row r="45" spans="1:13" x14ac:dyDescent="0.25">
      <c r="H45" s="3"/>
      <c r="I45" s="3"/>
      <c r="L45" s="2"/>
    </row>
    <row r="46" spans="1:13" x14ac:dyDescent="0.25">
      <c r="A46" t="str">
        <f>"10"</f>
        <v>10</v>
      </c>
      <c r="B46" t="str">
        <f>"066"</f>
        <v>066</v>
      </c>
      <c r="C46" t="str">
        <f>"3010106"</f>
        <v>3010106</v>
      </c>
      <c r="D46" t="str">
        <f>"03"</f>
        <v>03</v>
      </c>
      <c r="E46" t="str">
        <f>"643110"</f>
        <v>643110</v>
      </c>
      <c r="F46" t="str">
        <f>"11/30/13"</f>
        <v>11/30/13</v>
      </c>
      <c r="G46" t="str">
        <f>"14186612"</f>
        <v>14186612</v>
      </c>
      <c r="H46" s="6">
        <v>1607.9</v>
      </c>
      <c r="I46" s="6">
        <f>SUM(H46)</f>
        <v>1607.9</v>
      </c>
      <c r="J46" t="str">
        <f>"ADORAMA CAMERA INC"</f>
        <v>ADORAMA CAMERA INC</v>
      </c>
      <c r="K46" t="str">
        <f>"3350490"</f>
        <v>3350490</v>
      </c>
      <c r="L46" s="2" t="str">
        <f>"camera and video equipment"</f>
        <v>camera and video equipment</v>
      </c>
    </row>
    <row r="47" spans="1:13" x14ac:dyDescent="0.25">
      <c r="H47" s="3"/>
      <c r="I47" s="3"/>
      <c r="L47" s="2"/>
      <c r="M47" t="str">
        <f>"SVALLANT"</f>
        <v>SVALLANT</v>
      </c>
    </row>
    <row r="48" spans="1:13" x14ac:dyDescent="0.25">
      <c r="A48" t="str">
        <f>"10"</f>
        <v>10</v>
      </c>
      <c r="B48" t="str">
        <f>"066"</f>
        <v>066</v>
      </c>
      <c r="C48" t="str">
        <f>"3010106"</f>
        <v>3010106</v>
      </c>
      <c r="D48" t="str">
        <f>"03"</f>
        <v>03</v>
      </c>
      <c r="E48" t="str">
        <f>"643700"</f>
        <v>643700</v>
      </c>
      <c r="F48" t="str">
        <f>"05/31/13"</f>
        <v>05/31/13</v>
      </c>
      <c r="G48" t="str">
        <f>"RIAG20130328PNC"</f>
        <v>RIAG20130328PNC</v>
      </c>
      <c r="H48" s="3">
        <v>3100</v>
      </c>
      <c r="I48" s="3"/>
      <c r="J48" t="str">
        <f>"ALL THINGS CONSIDERED PROMOTIONS &amp; SUPPL"</f>
        <v>ALL THINGS CONSIDERED PROMOTIONS &amp; SUPPL</v>
      </c>
      <c r="K48" t="str">
        <f>"3318483"</f>
        <v>3318483</v>
      </c>
      <c r="L48" s="2" t="s">
        <v>26</v>
      </c>
    </row>
    <row r="49" spans="1:13" x14ac:dyDescent="0.25">
      <c r="A49" t="str">
        <f>"10"</f>
        <v>10</v>
      </c>
      <c r="B49" t="str">
        <f>"066"</f>
        <v>066</v>
      </c>
      <c r="C49" t="str">
        <f>"3010106"</f>
        <v>3010106</v>
      </c>
      <c r="D49" t="str">
        <f>"03"</f>
        <v>03</v>
      </c>
      <c r="E49" t="str">
        <f>"643700"</f>
        <v>643700</v>
      </c>
      <c r="F49" t="str">
        <f>"05/31/13"</f>
        <v>05/31/13</v>
      </c>
      <c r="G49" t="str">
        <f>"RIAG20130328PNC"</f>
        <v>RIAG20130328PNC</v>
      </c>
      <c r="H49" s="3">
        <v>1500</v>
      </c>
      <c r="I49" s="3"/>
      <c r="J49" t="str">
        <f>"ALL THINGS CONSIDERED PROMOTIONS &amp; SUPPL"</f>
        <v>ALL THINGS CONSIDERED PROMOTIONS &amp; SUPPL</v>
      </c>
      <c r="K49" t="str">
        <f>"3318483"</f>
        <v>3318483</v>
      </c>
      <c r="L49" s="2" t="s">
        <v>27</v>
      </c>
      <c r="M49" t="str">
        <f>"SVALLANT"</f>
        <v>SVALLANT</v>
      </c>
    </row>
    <row r="50" spans="1:13" x14ac:dyDescent="0.25">
      <c r="H50" s="6">
        <f>SUM(H48:H49)</f>
        <v>4600</v>
      </c>
      <c r="I50" s="6">
        <f>SUM(H48:H49)</f>
        <v>4600</v>
      </c>
      <c r="L50" s="2"/>
      <c r="M50" t="str">
        <f>"SVALLANT"</f>
        <v>SVALLANT</v>
      </c>
    </row>
    <row r="51" spans="1:13" x14ac:dyDescent="0.25">
      <c r="H51" s="3"/>
      <c r="I51" s="3"/>
      <c r="L51" s="2"/>
    </row>
    <row r="52" spans="1:13" x14ac:dyDescent="0.25">
      <c r="A52" t="str">
        <f>"10"</f>
        <v>10</v>
      </c>
      <c r="B52" t="str">
        <f>"066"</f>
        <v>066</v>
      </c>
      <c r="C52" t="str">
        <f>"3010106"</f>
        <v>3010106</v>
      </c>
      <c r="D52" t="str">
        <f>"03"</f>
        <v>03</v>
      </c>
      <c r="E52" t="str">
        <f>"640100"</f>
        <v>640100</v>
      </c>
      <c r="F52" t="str">
        <f>"06/30/15"</f>
        <v>06/30/15</v>
      </c>
      <c r="G52" t="str">
        <f>"1566SXA0399"</f>
        <v>1566SXA0399</v>
      </c>
      <c r="H52" s="6">
        <v>200</v>
      </c>
      <c r="I52" s="6">
        <f>SUM(H52)</f>
        <v>200</v>
      </c>
      <c r="J52" t="str">
        <f>"ALVIN THURBER III"</f>
        <v>ALVIN THURBER III</v>
      </c>
      <c r="K52" t="str">
        <f>"3423509"</f>
        <v>3423509</v>
      </c>
      <c r="L52" s="2" t="str">
        <f>"parking lot sweeping"</f>
        <v>parking lot sweeping</v>
      </c>
    </row>
    <row r="53" spans="1:13" x14ac:dyDescent="0.25">
      <c r="H53" s="3"/>
      <c r="I53" s="3"/>
      <c r="L53" s="2"/>
      <c r="M53" t="str">
        <f>"SVALLANT"</f>
        <v>SVALLANT</v>
      </c>
    </row>
    <row r="54" spans="1:13" x14ac:dyDescent="0.25">
      <c r="A54" t="str">
        <f>"10"</f>
        <v>10</v>
      </c>
      <c r="B54" t="str">
        <f>"066"</f>
        <v>066</v>
      </c>
      <c r="C54" t="str">
        <f>"3010106"</f>
        <v>3010106</v>
      </c>
      <c r="D54" t="str">
        <f>"03"</f>
        <v>03</v>
      </c>
      <c r="E54" t="str">
        <f>"643110"</f>
        <v>643110</v>
      </c>
      <c r="F54" t="str">
        <f>"12/31/13"</f>
        <v>12/31/13</v>
      </c>
      <c r="G54" t="str">
        <f>"6971"</f>
        <v>6971</v>
      </c>
      <c r="H54" s="6">
        <v>1950</v>
      </c>
      <c r="I54" s="6">
        <f>SUM(H54)</f>
        <v>1950</v>
      </c>
      <c r="J54" t="str">
        <f>"ANDOLFO APPRAISAL ASSOC INC"</f>
        <v>ANDOLFO APPRAISAL ASSOC INC</v>
      </c>
      <c r="K54" t="str">
        <f>"3287156"</f>
        <v>3287156</v>
      </c>
      <c r="L54" s="2" t="str">
        <f>"MPA-361 - 8/1/12-7/31/17 - LIMITED SCOPE SUMMARY REPORTS - $1,950.00"</f>
        <v>MPA-361 - 8/1/12-7/31/17 - LIMITED SCOPE SUMMARY REPORTS - $1,950.00</v>
      </c>
    </row>
    <row r="55" spans="1:13" x14ac:dyDescent="0.25">
      <c r="H55" s="3"/>
      <c r="I55" s="3"/>
      <c r="L55" s="2"/>
      <c r="M55" t="str">
        <f>"SVALLANT"</f>
        <v>SVALLANT</v>
      </c>
    </row>
    <row r="56" spans="1:13" ht="45" x14ac:dyDescent="0.25">
      <c r="A56" t="str">
        <f t="shared" ref="A56:A65" si="8">"10"</f>
        <v>10</v>
      </c>
      <c r="B56" t="str">
        <f t="shared" ref="B56:B65" si="9">"066"</f>
        <v>066</v>
      </c>
      <c r="C56" t="str">
        <f t="shared" ref="C56:C65" si="10">"3010106"</f>
        <v>3010106</v>
      </c>
      <c r="D56" t="str">
        <f t="shared" ref="D56:D65" si="11">"03"</f>
        <v>03</v>
      </c>
      <c r="E56" t="str">
        <f t="shared" ref="E56:E63" si="12">"640100"</f>
        <v>640100</v>
      </c>
      <c r="F56" t="str">
        <f>"01/31/15"</f>
        <v>01/31/15</v>
      </c>
      <c r="G56" t="str">
        <f>"25766"</f>
        <v>25766</v>
      </c>
      <c r="H56" s="4">
        <v>468</v>
      </c>
      <c r="I56" s="3"/>
      <c r="J56" t="str">
        <f t="shared" ref="J56:J65" si="13">"APOLLO ROOFING &amp; SHEET METAL INC"</f>
        <v>APOLLO ROOFING &amp; SHEET METAL INC</v>
      </c>
      <c r="K56" t="str">
        <f t="shared" ref="K56:K65" si="14">"3268351"</f>
        <v>3268351</v>
      </c>
      <c r="L56" s="2" t="str">
        <f>"MPA-64 3/1/12-12/1/14 HOURLY RATE ON SITE FOR THE FOLLOWING: (INCLUDES TRAVEL &amp; ALL EXPENSES) TRAVEL TIME AND/OR MILEAGE SHALL NOT BE CHARGED BY THE CONTRACTOR OR ALLOWED BY THE STATE.  PROV"</f>
        <v>MPA-64 3/1/12-12/1/14 HOURLY RATE ON SITE FOR THE FOLLOWING: (INCLUDES TRAVEL &amp; ALL EXPENSES) TRAVEL TIME AND/OR MILEAGE SHALL NOT BE CHARGED BY THE CONTRACTOR OR ALLOWED BY THE STATE.  PROV</v>
      </c>
    </row>
    <row r="57" spans="1:13" ht="45" x14ac:dyDescent="0.25">
      <c r="A57" t="str">
        <f t="shared" si="8"/>
        <v>10</v>
      </c>
      <c r="B57" t="str">
        <f t="shared" si="9"/>
        <v>066</v>
      </c>
      <c r="C57" t="str">
        <f t="shared" si="10"/>
        <v>3010106</v>
      </c>
      <c r="D57" t="str">
        <f t="shared" si="11"/>
        <v>03</v>
      </c>
      <c r="E57" t="str">
        <f t="shared" si="12"/>
        <v>640100</v>
      </c>
      <c r="F57" t="str">
        <f>"01/31/15"</f>
        <v>01/31/15</v>
      </c>
      <c r="G57" t="str">
        <f>"25766"</f>
        <v>25766</v>
      </c>
      <c r="H57" s="4">
        <v>57</v>
      </c>
      <c r="I57" s="3"/>
      <c r="J57" t="str">
        <f t="shared" si="13"/>
        <v>APOLLO ROOFING &amp; SHEET METAL INC</v>
      </c>
      <c r="K57" t="str">
        <f t="shared" si="14"/>
        <v>3268351</v>
      </c>
      <c r="L57" s="2" t="str">
        <f>"MPA-64 3/1/12-12/31/14 MATERIALS ARE TO BE PROVIDED AT COST PLUS THE FOLLOWING FEE FOR OVERHEAD, PICKUP AND DELIVERY:  $0-500 NO FEE, $501-700 $75.00, $751-1000 $96.00, $1001-1500 $125.00, $"</f>
        <v>MPA-64 3/1/12-12/31/14 MATERIALS ARE TO BE PROVIDED AT COST PLUS THE FOLLOWING FEE FOR OVERHEAD, PICKUP AND DELIVERY:  $0-500 NO FEE, $501-700 $75.00, $751-1000 $96.00, $1001-1500 $125.00, $</v>
      </c>
      <c r="M57" t="str">
        <f>"SVALLANT"</f>
        <v>SVALLANT</v>
      </c>
    </row>
    <row r="58" spans="1:13" ht="45" x14ac:dyDescent="0.25">
      <c r="A58" t="str">
        <f t="shared" si="8"/>
        <v>10</v>
      </c>
      <c r="B58" t="str">
        <f t="shared" si="9"/>
        <v>066</v>
      </c>
      <c r="C58" t="str">
        <f t="shared" si="10"/>
        <v>3010106</v>
      </c>
      <c r="D58" t="str">
        <f t="shared" si="11"/>
        <v>03</v>
      </c>
      <c r="E58" t="str">
        <f t="shared" si="12"/>
        <v>640100</v>
      </c>
      <c r="F58" t="str">
        <f>"04/30/16"</f>
        <v>04/30/16</v>
      </c>
      <c r="G58" t="str">
        <f>"1666SXA0289"</f>
        <v>1666SXA0289</v>
      </c>
      <c r="H58" s="4">
        <v>5304</v>
      </c>
      <c r="I58" s="3"/>
      <c r="J58" t="str">
        <f t="shared" si="13"/>
        <v>APOLLO ROOFING &amp; SHEET METAL INC</v>
      </c>
      <c r="K58" t="str">
        <f t="shared" si="14"/>
        <v>3268351</v>
      </c>
      <c r="L58" s="2" t="str">
        <f>"MPA-64 FY-16 - HOURLY RATE ON SITE FOR THE FOLLOWING: (INCLUDES TRAVEL &amp; ALL EXPENSES) TRAVEL TIME AND/OR MILEAGE SHALL NOT BE CHARGED BY THE CONTRACTOR OR ALLOWED BY THE STATE.  PROVIDE SVC"</f>
        <v>MPA-64 FY-16 - HOURLY RATE ON SITE FOR THE FOLLOWING: (INCLUDES TRAVEL &amp; ALL EXPENSES) TRAVEL TIME AND/OR MILEAGE SHALL NOT BE CHARGED BY THE CONTRACTOR OR ALLOWED BY THE STATE.  PROVIDE SVC</v>
      </c>
      <c r="M58" t="str">
        <f>"SVALLANT"</f>
        <v>SVALLANT</v>
      </c>
    </row>
    <row r="59" spans="1:13" ht="45" x14ac:dyDescent="0.25">
      <c r="A59" t="str">
        <f t="shared" si="8"/>
        <v>10</v>
      </c>
      <c r="B59" t="str">
        <f t="shared" si="9"/>
        <v>066</v>
      </c>
      <c r="C59" t="str">
        <f t="shared" si="10"/>
        <v>3010106</v>
      </c>
      <c r="D59" t="str">
        <f t="shared" si="11"/>
        <v>03</v>
      </c>
      <c r="E59" t="str">
        <f t="shared" si="12"/>
        <v>640100</v>
      </c>
      <c r="F59" t="str">
        <f>"04/30/16"</f>
        <v>04/30/16</v>
      </c>
      <c r="G59" t="str">
        <f>"1666SXA0289"</f>
        <v>1666SXA0289</v>
      </c>
      <c r="H59" s="4">
        <v>2546</v>
      </c>
      <c r="I59" s="3"/>
      <c r="J59" t="str">
        <f t="shared" si="13"/>
        <v>APOLLO ROOFING &amp; SHEET METAL INC</v>
      </c>
      <c r="K59" t="str">
        <f t="shared" si="14"/>
        <v>3268351</v>
      </c>
      <c r="L59" s="2" t="str">
        <f>"MPA-64 FY-16 - MATERIALS ARE TO BE PROVIDED AT COST PLUS THE FOLLOWING FEE FOR OVERHEAD, PICKUP AND DELIVERY:  $0-500 NO FEE, $501-700 $75.00, $751-1000 $96.00, $1001-1500 $125.00, $1501-250"</f>
        <v>MPA-64 FY-16 - MATERIALS ARE TO BE PROVIDED AT COST PLUS THE FOLLOWING FEE FOR OVERHEAD, PICKUP AND DELIVERY:  $0-500 NO FEE, $501-700 $75.00, $751-1000 $96.00, $1001-1500 $125.00, $1501-250</v>
      </c>
      <c r="M59" t="str">
        <f>"SVALLANT"</f>
        <v>SVALLANT</v>
      </c>
    </row>
    <row r="60" spans="1:13" ht="45" x14ac:dyDescent="0.25">
      <c r="A60" t="str">
        <f t="shared" si="8"/>
        <v>10</v>
      </c>
      <c r="B60" t="str">
        <f t="shared" si="9"/>
        <v>066</v>
      </c>
      <c r="C60" t="str">
        <f t="shared" si="10"/>
        <v>3010106</v>
      </c>
      <c r="D60" t="str">
        <f t="shared" si="11"/>
        <v>03</v>
      </c>
      <c r="E60" t="str">
        <f t="shared" si="12"/>
        <v>640100</v>
      </c>
      <c r="F60" t="str">
        <f>"12/31/15"</f>
        <v>12/31/15</v>
      </c>
      <c r="G60" t="str">
        <f>"26292"</f>
        <v>26292</v>
      </c>
      <c r="H60" s="4">
        <v>5304</v>
      </c>
      <c r="I60" s="3"/>
      <c r="J60" t="str">
        <f t="shared" si="13"/>
        <v>APOLLO ROOFING &amp; SHEET METAL INC</v>
      </c>
      <c r="K60" t="str">
        <f t="shared" si="14"/>
        <v>3268351</v>
      </c>
      <c r="L60" s="2" t="str">
        <f>"MPA-64 FY-16 - HOURLY RATE ON SITE FOR THE FOLLOWING: (INCLUDES TRAVEL &amp; ALL EXPENSES) TRAVEL TIME AND/OR MILEAGE SHALL NOT BE CHARGED BY THE CONTRACTOR OR ALLOWED BY THE STATE.  PROVIDE SVC"</f>
        <v>MPA-64 FY-16 - HOURLY RATE ON SITE FOR THE FOLLOWING: (INCLUDES TRAVEL &amp; ALL EXPENSES) TRAVEL TIME AND/OR MILEAGE SHALL NOT BE CHARGED BY THE CONTRACTOR OR ALLOWED BY THE STATE.  PROVIDE SVC</v>
      </c>
      <c r="M60" t="str">
        <f>"SVALLANT"</f>
        <v>SVALLANT</v>
      </c>
    </row>
    <row r="61" spans="1:13" ht="45" x14ac:dyDescent="0.25">
      <c r="A61" t="str">
        <f t="shared" si="8"/>
        <v>10</v>
      </c>
      <c r="B61" t="str">
        <f t="shared" si="9"/>
        <v>066</v>
      </c>
      <c r="C61" t="str">
        <f t="shared" si="10"/>
        <v>3010106</v>
      </c>
      <c r="D61" t="str">
        <f t="shared" si="11"/>
        <v>03</v>
      </c>
      <c r="E61" t="str">
        <f t="shared" si="12"/>
        <v>640100</v>
      </c>
      <c r="F61" t="str">
        <f>"12/31/15"</f>
        <v>12/31/15</v>
      </c>
      <c r="G61" t="str">
        <f>"26292"</f>
        <v>26292</v>
      </c>
      <c r="H61" s="4">
        <v>2546</v>
      </c>
      <c r="I61" s="3"/>
      <c r="J61" t="str">
        <f t="shared" si="13"/>
        <v>APOLLO ROOFING &amp; SHEET METAL INC</v>
      </c>
      <c r="K61" t="str">
        <f t="shared" si="14"/>
        <v>3268351</v>
      </c>
      <c r="L61" s="2" t="str">
        <f>"MPA-64 FY-16 - MATERIALS ARE TO BE PROVIDED AT COST PLUS THE FOLLOWING FEE FOR OVERHEAD, PICKUP AND DELIVERY:  $0-500 NO FEE, $501-700 $75.00, $751-1000 $96.00, $1001-1500 $125.00, $1501-250"</f>
        <v>MPA-64 FY-16 - MATERIALS ARE TO BE PROVIDED AT COST PLUS THE FOLLOWING FEE FOR OVERHEAD, PICKUP AND DELIVERY:  $0-500 NO FEE, $501-700 $75.00, $751-1000 $96.00, $1001-1500 $125.00, $1501-250</v>
      </c>
      <c r="M61" t="str">
        <f>"NLASTER"</f>
        <v>NLASTER</v>
      </c>
    </row>
    <row r="62" spans="1:13" ht="45" x14ac:dyDescent="0.25">
      <c r="A62" t="str">
        <f t="shared" si="8"/>
        <v>10</v>
      </c>
      <c r="B62" t="str">
        <f t="shared" si="9"/>
        <v>066</v>
      </c>
      <c r="C62" t="str">
        <f t="shared" si="10"/>
        <v>3010106</v>
      </c>
      <c r="D62" t="str">
        <f t="shared" si="11"/>
        <v>03</v>
      </c>
      <c r="E62" t="str">
        <f t="shared" si="12"/>
        <v>640100</v>
      </c>
      <c r="F62" t="str">
        <f>"12/31/15"</f>
        <v>12/31/15</v>
      </c>
      <c r="G62" t="str">
        <f>"26292"</f>
        <v>26292</v>
      </c>
      <c r="H62" s="4">
        <v>-5304</v>
      </c>
      <c r="I62" s="3"/>
      <c r="J62" t="str">
        <f t="shared" si="13"/>
        <v>APOLLO ROOFING &amp; SHEET METAL INC</v>
      </c>
      <c r="K62" t="str">
        <f t="shared" si="14"/>
        <v>3268351</v>
      </c>
      <c r="L62" s="2" t="str">
        <f>"MPA-64 FY-16 - HOURLY RATE ON SITE FOR THE FOLLOWING: (INCLUDES TRAVEL &amp; ALL EXPENSES) TRAVEL TIME AND/OR MILEAGE SHALL NOT BE CHARGED BY THE CONTRACTOR OR ALLOWED BY THE STATE.  PROVIDE SVC"</f>
        <v>MPA-64 FY-16 - HOURLY RATE ON SITE FOR THE FOLLOWING: (INCLUDES TRAVEL &amp; ALL EXPENSES) TRAVEL TIME AND/OR MILEAGE SHALL NOT BE CHARGED BY THE CONTRACTOR OR ALLOWED BY THE STATE.  PROVIDE SVC</v>
      </c>
      <c r="M62" t="str">
        <f>"NLASTER"</f>
        <v>NLASTER</v>
      </c>
    </row>
    <row r="63" spans="1:13" ht="45" x14ac:dyDescent="0.25">
      <c r="A63" t="str">
        <f t="shared" si="8"/>
        <v>10</v>
      </c>
      <c r="B63" t="str">
        <f t="shared" si="9"/>
        <v>066</v>
      </c>
      <c r="C63" t="str">
        <f t="shared" si="10"/>
        <v>3010106</v>
      </c>
      <c r="D63" t="str">
        <f t="shared" si="11"/>
        <v>03</v>
      </c>
      <c r="E63" t="str">
        <f t="shared" si="12"/>
        <v>640100</v>
      </c>
      <c r="F63" t="str">
        <f>"12/31/15"</f>
        <v>12/31/15</v>
      </c>
      <c r="G63" t="str">
        <f>"26292"</f>
        <v>26292</v>
      </c>
      <c r="H63" s="4">
        <v>-2546</v>
      </c>
      <c r="I63" s="3"/>
      <c r="J63" t="str">
        <f t="shared" si="13"/>
        <v>APOLLO ROOFING &amp; SHEET METAL INC</v>
      </c>
      <c r="K63" t="str">
        <f t="shared" si="14"/>
        <v>3268351</v>
      </c>
      <c r="L63" s="2" t="str">
        <f>"MPA-64 FY-16 - MATERIALS ARE TO BE PROVIDED AT COST PLUS THE FOLLOWING FEE FOR OVERHEAD, PICKUP AND DELIVERY:  $0-500 NO FEE, $501-700 $75.00, $751-1000 $96.00, $1001-1500 $125.00, $1501-250"</f>
        <v>MPA-64 FY-16 - MATERIALS ARE TO BE PROVIDED AT COST PLUS THE FOLLOWING FEE FOR OVERHEAD, PICKUP AND DELIVERY:  $0-500 NO FEE, $501-700 $75.00, $751-1000 $96.00, $1001-1500 $125.00, $1501-250</v>
      </c>
      <c r="M63" t="str">
        <f>"NLASTER"</f>
        <v>NLASTER</v>
      </c>
    </row>
    <row r="64" spans="1:13" ht="45" x14ac:dyDescent="0.25">
      <c r="A64" t="str">
        <f t="shared" si="8"/>
        <v>10</v>
      </c>
      <c r="B64" t="str">
        <f t="shared" si="9"/>
        <v>066</v>
      </c>
      <c r="C64" t="str">
        <f t="shared" si="10"/>
        <v>3010106</v>
      </c>
      <c r="D64" t="str">
        <f t="shared" si="11"/>
        <v>03</v>
      </c>
      <c r="E64" t="str">
        <f>"643620"</f>
        <v>643620</v>
      </c>
      <c r="F64" t="str">
        <f>"06/30/15"</f>
        <v>06/30/15</v>
      </c>
      <c r="G64" t="str">
        <f>"25962"</f>
        <v>25962</v>
      </c>
      <c r="H64" s="4">
        <v>468</v>
      </c>
      <c r="I64" s="3"/>
      <c r="J64" t="str">
        <f t="shared" si="13"/>
        <v>APOLLO ROOFING &amp; SHEET METAL INC</v>
      </c>
      <c r="K64" t="str">
        <f t="shared" si="14"/>
        <v>3268351</v>
      </c>
      <c r="L64" s="2" t="str">
        <f>"MPA-64 3/1/12-8/31/15 HOURLY RATE ON SITE FOR THE FOLLOWING: (INCLUDES TRAVEL &amp; ALL EXPENSES) TRAVEL TIME AND/OR MILEAGE SHALL NOT BE CHARGED BY THE CONTRACTOR OR ALLOWED BY THE STATE.  PROV"</f>
        <v>MPA-64 3/1/12-8/31/15 HOURLY RATE ON SITE FOR THE FOLLOWING: (INCLUDES TRAVEL &amp; ALL EXPENSES) TRAVEL TIME AND/OR MILEAGE SHALL NOT BE CHARGED BY THE CONTRACTOR OR ALLOWED BY THE STATE.  PROV</v>
      </c>
      <c r="M64" t="str">
        <f>"NLASTER"</f>
        <v>NLASTER</v>
      </c>
    </row>
    <row r="65" spans="1:13" ht="45" x14ac:dyDescent="0.25">
      <c r="A65" t="str">
        <f t="shared" si="8"/>
        <v>10</v>
      </c>
      <c r="B65" t="str">
        <f t="shared" si="9"/>
        <v>066</v>
      </c>
      <c r="C65" t="str">
        <f t="shared" si="10"/>
        <v>3010106</v>
      </c>
      <c r="D65" t="str">
        <f t="shared" si="11"/>
        <v>03</v>
      </c>
      <c r="E65" t="str">
        <f>"643620"</f>
        <v>643620</v>
      </c>
      <c r="F65" t="str">
        <f>"06/30/15"</f>
        <v>06/30/15</v>
      </c>
      <c r="G65" t="str">
        <f>"25962"</f>
        <v>25962</v>
      </c>
      <c r="H65" s="4">
        <v>50</v>
      </c>
      <c r="I65" s="3"/>
      <c r="J65" t="str">
        <f t="shared" si="13"/>
        <v>APOLLO ROOFING &amp; SHEET METAL INC</v>
      </c>
      <c r="K65" t="str">
        <f t="shared" si="14"/>
        <v>3268351</v>
      </c>
      <c r="L65" s="2" t="str">
        <f>"MPA-64 3/1/12-8/31/15 MATERIALS ARE TO BE PROVIDED AT COST PLUS THE FOLLOWING FEE FOR OVERHEAD, PICKUP AND DELIVERY:  $0-500 NO FEE, $501-700 $75.00, $751-1000 $96.00, $1001-1500 $125.00, $1"</f>
        <v>MPA-64 3/1/12-8/31/15 MATERIALS ARE TO BE PROVIDED AT COST PLUS THE FOLLOWING FEE FOR OVERHEAD, PICKUP AND DELIVERY:  $0-500 NO FEE, $501-700 $75.00, $751-1000 $96.00, $1001-1500 $125.00, $1</v>
      </c>
      <c r="M65" t="str">
        <f>"SVALLANT"</f>
        <v>SVALLANT</v>
      </c>
    </row>
    <row r="66" spans="1:13" x14ac:dyDescent="0.25">
      <c r="H66" s="6">
        <f>SUM(H56:H65)</f>
        <v>8893</v>
      </c>
      <c r="I66" s="6">
        <f>SUM(H56:H65)</f>
        <v>8893</v>
      </c>
      <c r="L66" s="2"/>
      <c r="M66" t="str">
        <f>"SVALLANT"</f>
        <v>SVALLANT</v>
      </c>
    </row>
    <row r="67" spans="1:13" x14ac:dyDescent="0.25">
      <c r="H67" s="3"/>
      <c r="I67" s="3"/>
      <c r="L67" s="2"/>
    </row>
    <row r="68" spans="1:13" x14ac:dyDescent="0.25">
      <c r="A68" t="str">
        <f t="shared" ref="A68:A131" si="15">"10"</f>
        <v>10</v>
      </c>
      <c r="B68" t="str">
        <f t="shared" ref="B68:B131" si="16">"066"</f>
        <v>066</v>
      </c>
      <c r="C68" t="str">
        <f t="shared" ref="C68:C131" si="17">"3010106"</f>
        <v>3010106</v>
      </c>
      <c r="D68" t="str">
        <f t="shared" ref="D68:D131" si="18">"03"</f>
        <v>03</v>
      </c>
      <c r="E68" t="str">
        <f t="shared" ref="E68:E85" si="19">"632150"</f>
        <v>632150</v>
      </c>
      <c r="F68" t="str">
        <f t="shared" ref="F68:F73" si="20">"02/28/17"</f>
        <v>02/28/17</v>
      </c>
      <c r="G68" t="str">
        <f>"0084204-IN-SXA"</f>
        <v>0084204-IN-SXA</v>
      </c>
      <c r="H68" s="3">
        <v>1587.5</v>
      </c>
      <c r="I68" s="3"/>
      <c r="J68" t="str">
        <f t="shared" ref="J68:J131" si="21">"ATRION NETWORKING CORPORATION"</f>
        <v>ATRION NETWORKING CORPORATION</v>
      </c>
      <c r="K68" t="str">
        <f>"3495904"</f>
        <v>3495904</v>
      </c>
      <c r="L68" s="2" t="str">
        <f>"SENIOR ENGINEER SERVICES"</f>
        <v>SENIOR ENGINEER SERVICES</v>
      </c>
    </row>
    <row r="69" spans="1:13" ht="30" x14ac:dyDescent="0.25">
      <c r="A69" t="str">
        <f t="shared" si="15"/>
        <v>10</v>
      </c>
      <c r="B69" t="str">
        <f t="shared" si="16"/>
        <v>066</v>
      </c>
      <c r="C69" t="str">
        <f t="shared" si="17"/>
        <v>3010106</v>
      </c>
      <c r="D69" t="str">
        <f t="shared" si="18"/>
        <v>03</v>
      </c>
      <c r="E69" t="str">
        <f t="shared" si="19"/>
        <v>632150</v>
      </c>
      <c r="F69" t="str">
        <f t="shared" si="20"/>
        <v>02/28/17</v>
      </c>
      <c r="G69" t="str">
        <f>"0084592-IN"</f>
        <v>0084592-IN</v>
      </c>
      <c r="H69" s="4">
        <v>2988.8</v>
      </c>
      <c r="I69" s="3"/>
      <c r="J69" t="str">
        <f t="shared" si="21"/>
        <v>ATRION NETWORKING CORPORATION</v>
      </c>
      <c r="K69" t="str">
        <f>"3499260"</f>
        <v>3499260</v>
      </c>
      <c r="L69" s="2" t="str">
        <f>"SENIOR ENGINEER SERVICES ATRION MAXTIME MANAGED SERVICES - SEE ASSET LIST FOR DETAILS"</f>
        <v>SENIOR ENGINEER SERVICES ATRION MAXTIME MANAGED SERVICES - SEE ASSET LIST FOR DETAILS</v>
      </c>
      <c r="M69" t="str">
        <f t="shared" ref="M69:M76" si="22">"SVALLANT"</f>
        <v>SVALLANT</v>
      </c>
    </row>
    <row r="70" spans="1:13" ht="30" x14ac:dyDescent="0.25">
      <c r="A70" t="str">
        <f t="shared" si="15"/>
        <v>10</v>
      </c>
      <c r="B70" t="str">
        <f t="shared" si="16"/>
        <v>066</v>
      </c>
      <c r="C70" t="str">
        <f t="shared" si="17"/>
        <v>3010106</v>
      </c>
      <c r="D70" t="str">
        <f t="shared" si="18"/>
        <v>03</v>
      </c>
      <c r="E70" t="str">
        <f t="shared" si="19"/>
        <v>632150</v>
      </c>
      <c r="F70" t="str">
        <f t="shared" si="20"/>
        <v>02/28/17</v>
      </c>
      <c r="G70" t="str">
        <f>"67285-A"</f>
        <v>67285-A</v>
      </c>
      <c r="H70" s="4">
        <v>1263</v>
      </c>
      <c r="I70" s="3"/>
      <c r="J70" t="str">
        <f t="shared" si="21"/>
        <v>ATRION NETWORKING CORPORATION</v>
      </c>
      <c r="K70" t="str">
        <f>"3499260"</f>
        <v>3499260</v>
      </c>
      <c r="L70" s="2" t="str">
        <f>"SENIOR ENGINEER SERVICES L-AC-PLS-3Y-S3 CISCO ANYCONNECT PLUS LICENSE, 3YR, 250-499 USERS"</f>
        <v>SENIOR ENGINEER SERVICES L-AC-PLS-3Y-S3 CISCO ANYCONNECT PLUS LICENSE, 3YR, 250-499 USERS</v>
      </c>
      <c r="M70" t="str">
        <f t="shared" si="22"/>
        <v>SVALLANT</v>
      </c>
    </row>
    <row r="71" spans="1:13" ht="30" x14ac:dyDescent="0.25">
      <c r="A71" t="str">
        <f t="shared" si="15"/>
        <v>10</v>
      </c>
      <c r="B71" t="str">
        <f t="shared" si="16"/>
        <v>066</v>
      </c>
      <c r="C71" t="str">
        <f t="shared" si="17"/>
        <v>3010106</v>
      </c>
      <c r="D71" t="str">
        <f t="shared" si="18"/>
        <v>03</v>
      </c>
      <c r="E71" t="str">
        <f t="shared" si="19"/>
        <v>632150</v>
      </c>
      <c r="F71" t="str">
        <f t="shared" si="20"/>
        <v>02/28/17</v>
      </c>
      <c r="G71" t="str">
        <f>"67285-A"</f>
        <v>67285-A</v>
      </c>
      <c r="H71" s="4">
        <v>7014.16</v>
      </c>
      <c r="I71" s="3"/>
      <c r="J71" t="str">
        <f t="shared" si="21"/>
        <v>ATRION NETWORKING CORPORATION</v>
      </c>
      <c r="K71" t="str">
        <f>"3499260"</f>
        <v>3499260</v>
      </c>
      <c r="L71" s="2" t="str">
        <f>"SENIOR ENGINEER SERVICES ASA5516-PFWR-K9 ASA 5516-X WITH FIREPOWER SERVICES, 8GE, AC 3DES/AES"</f>
        <v>SENIOR ENGINEER SERVICES ASA5516-PFWR-K9 ASA 5516-X WITH FIREPOWER SERVICES, 8GE, AC 3DES/AES</v>
      </c>
      <c r="M71" t="str">
        <f t="shared" si="22"/>
        <v>SVALLANT</v>
      </c>
    </row>
    <row r="72" spans="1:13" x14ac:dyDescent="0.25">
      <c r="A72" t="str">
        <f t="shared" si="15"/>
        <v>10</v>
      </c>
      <c r="B72" t="str">
        <f t="shared" si="16"/>
        <v>066</v>
      </c>
      <c r="C72" t="str">
        <f t="shared" si="17"/>
        <v>3010106</v>
      </c>
      <c r="D72" t="str">
        <f t="shared" si="18"/>
        <v>03</v>
      </c>
      <c r="E72" t="str">
        <f t="shared" si="19"/>
        <v>632150</v>
      </c>
      <c r="F72" t="str">
        <f t="shared" si="20"/>
        <v>02/28/17</v>
      </c>
      <c r="G72" t="str">
        <f>"67285-A"</f>
        <v>67285-A</v>
      </c>
      <c r="H72" s="4">
        <v>4700</v>
      </c>
      <c r="I72" s="3"/>
      <c r="J72" t="str">
        <f t="shared" si="21"/>
        <v>ATRION NETWORKING CORPORATION</v>
      </c>
      <c r="K72" t="str">
        <f>"3499260"</f>
        <v>3499260</v>
      </c>
      <c r="L72" s="2" t="str">
        <f>"SENIOR ENGINEER SERVICES ATRION PROJECT MANAGED PROFESSIONAL SERVICES"</f>
        <v>SENIOR ENGINEER SERVICES ATRION PROJECT MANAGED PROFESSIONAL SERVICES</v>
      </c>
      <c r="M72" t="str">
        <f t="shared" si="22"/>
        <v>SVALLANT</v>
      </c>
    </row>
    <row r="73" spans="1:13" x14ac:dyDescent="0.25">
      <c r="A73" t="str">
        <f t="shared" si="15"/>
        <v>10</v>
      </c>
      <c r="B73" t="str">
        <f t="shared" si="16"/>
        <v>066</v>
      </c>
      <c r="C73" t="str">
        <f t="shared" si="17"/>
        <v>3010106</v>
      </c>
      <c r="D73" t="str">
        <f t="shared" si="18"/>
        <v>03</v>
      </c>
      <c r="E73" t="str">
        <f t="shared" si="19"/>
        <v>632150</v>
      </c>
      <c r="F73" t="str">
        <f t="shared" si="20"/>
        <v>02/28/17</v>
      </c>
      <c r="G73" t="str">
        <f>"67285-A"</f>
        <v>67285-A</v>
      </c>
      <c r="H73" s="4">
        <v>1263</v>
      </c>
      <c r="I73" s="3"/>
      <c r="J73" t="str">
        <f t="shared" si="21"/>
        <v>ATRION NETWORKING CORPORATION</v>
      </c>
      <c r="K73" t="str">
        <f>"3499260"</f>
        <v>3499260</v>
      </c>
      <c r="L73" s="2" t="str">
        <f>"SENIOR ENGINEER SERVICES L-AC-PLS-3Y-S3"</f>
        <v>SENIOR ENGINEER SERVICES L-AC-PLS-3Y-S3</v>
      </c>
      <c r="M73" t="str">
        <f t="shared" si="22"/>
        <v>SVALLANT</v>
      </c>
    </row>
    <row r="74" spans="1:13" x14ac:dyDescent="0.25">
      <c r="A74" t="str">
        <f t="shared" si="15"/>
        <v>10</v>
      </c>
      <c r="B74" t="str">
        <f t="shared" si="16"/>
        <v>066</v>
      </c>
      <c r="C74" t="str">
        <f t="shared" si="17"/>
        <v>3010106</v>
      </c>
      <c r="D74" t="str">
        <f t="shared" si="18"/>
        <v>03</v>
      </c>
      <c r="E74" t="str">
        <f t="shared" si="19"/>
        <v>632150</v>
      </c>
      <c r="F74" t="str">
        <f>"03/31/17"</f>
        <v>03/31/17</v>
      </c>
      <c r="G74" t="str">
        <f>"0084440-IN"</f>
        <v>0084440-IN</v>
      </c>
      <c r="H74" s="4">
        <v>4545</v>
      </c>
      <c r="I74" s="3"/>
      <c r="J74" t="str">
        <f t="shared" si="21"/>
        <v>ATRION NETWORKING CORPORATION</v>
      </c>
      <c r="K74" t="str">
        <f>"3499261"</f>
        <v>3499261</v>
      </c>
      <c r="L74" s="2" t="str">
        <f>"SENIOR ENGINEER SERVICES"</f>
        <v>SENIOR ENGINEER SERVICES</v>
      </c>
      <c r="M74" t="str">
        <f t="shared" si="22"/>
        <v>SVALLANT</v>
      </c>
    </row>
    <row r="75" spans="1:13" x14ac:dyDescent="0.25">
      <c r="A75" t="str">
        <f t="shared" si="15"/>
        <v>10</v>
      </c>
      <c r="B75" t="str">
        <f t="shared" si="16"/>
        <v>066</v>
      </c>
      <c r="C75" t="str">
        <f t="shared" si="17"/>
        <v>3010106</v>
      </c>
      <c r="D75" t="str">
        <f t="shared" si="18"/>
        <v>03</v>
      </c>
      <c r="E75" t="str">
        <f t="shared" si="19"/>
        <v>632150</v>
      </c>
      <c r="F75" t="str">
        <f>"03/31/17"</f>
        <v>03/31/17</v>
      </c>
      <c r="G75" t="str">
        <f>"0085108-IN"</f>
        <v>0085108-IN</v>
      </c>
      <c r="H75" s="4">
        <v>9995</v>
      </c>
      <c r="I75" s="3"/>
      <c r="J75" t="str">
        <f t="shared" si="21"/>
        <v>ATRION NETWORKING CORPORATION</v>
      </c>
      <c r="K75" t="str">
        <f>"3497260"</f>
        <v>3497260</v>
      </c>
      <c r="L75" s="2" t="str">
        <f>"SENIOR ENGINEER SERVICES"</f>
        <v>SENIOR ENGINEER SERVICES</v>
      </c>
      <c r="M75" t="str">
        <f t="shared" si="22"/>
        <v>SVALLANT</v>
      </c>
    </row>
    <row r="76" spans="1:13" x14ac:dyDescent="0.25">
      <c r="A76" t="str">
        <f t="shared" si="15"/>
        <v>10</v>
      </c>
      <c r="B76" t="str">
        <f t="shared" si="16"/>
        <v>066</v>
      </c>
      <c r="C76" t="str">
        <f t="shared" si="17"/>
        <v>3010106</v>
      </c>
      <c r="D76" t="str">
        <f t="shared" si="18"/>
        <v>03</v>
      </c>
      <c r="E76" t="str">
        <f t="shared" si="19"/>
        <v>632150</v>
      </c>
      <c r="F76" t="str">
        <f t="shared" ref="F76:F82" si="23">"04/30/17"</f>
        <v>04/30/17</v>
      </c>
      <c r="G76" t="str">
        <f>"0084645-IN"</f>
        <v>0084645-IN</v>
      </c>
      <c r="H76" s="4">
        <v>1521</v>
      </c>
      <c r="I76" s="3"/>
      <c r="J76" t="str">
        <f t="shared" si="21"/>
        <v>ATRION NETWORKING CORPORATION</v>
      </c>
      <c r="K76" t="str">
        <f>"3502346"</f>
        <v>3502346</v>
      </c>
      <c r="L76" s="2" t="str">
        <f>"SENIOR ENGINEER SERVICES - SFP-10G-SR S 10GBASE -SR SFP Module, Enterprise Class"</f>
        <v>SENIOR ENGINEER SERVICES - SFP-10G-SR S 10GBASE -SR SFP Module, Enterprise Class</v>
      </c>
      <c r="M76" t="str">
        <f t="shared" si="22"/>
        <v>SVALLANT</v>
      </c>
    </row>
    <row r="77" spans="1:13" x14ac:dyDescent="0.25">
      <c r="A77" t="str">
        <f t="shared" si="15"/>
        <v>10</v>
      </c>
      <c r="B77" t="str">
        <f t="shared" si="16"/>
        <v>066</v>
      </c>
      <c r="C77" t="str">
        <f t="shared" si="17"/>
        <v>3010106</v>
      </c>
      <c r="D77" t="str">
        <f t="shared" si="18"/>
        <v>03</v>
      </c>
      <c r="E77" t="str">
        <f t="shared" si="19"/>
        <v>632150</v>
      </c>
      <c r="F77" t="str">
        <f t="shared" si="23"/>
        <v>04/30/17</v>
      </c>
      <c r="G77" t="str">
        <f>"0085937-IN"</f>
        <v>0085937-IN</v>
      </c>
      <c r="H77" s="4">
        <v>7450</v>
      </c>
      <c r="I77" s="3"/>
      <c r="J77" t="str">
        <f t="shared" si="21"/>
        <v>ATRION NETWORKING CORPORATION</v>
      </c>
      <c r="K77" t="str">
        <f>"3504495"</f>
        <v>3504495</v>
      </c>
      <c r="L77" s="2" t="str">
        <f>"MAXTIME MANAGED SERVICES"</f>
        <v>MAXTIME MANAGED SERVICES</v>
      </c>
      <c r="M77" t="str">
        <f>"MFUSCO"</f>
        <v>MFUSCO</v>
      </c>
    </row>
    <row r="78" spans="1:13" x14ac:dyDescent="0.25">
      <c r="A78" t="str">
        <f t="shared" si="15"/>
        <v>10</v>
      </c>
      <c r="B78" t="str">
        <f t="shared" si="16"/>
        <v>066</v>
      </c>
      <c r="C78" t="str">
        <f t="shared" si="17"/>
        <v>3010106</v>
      </c>
      <c r="D78" t="str">
        <f t="shared" si="18"/>
        <v>03</v>
      </c>
      <c r="E78" t="str">
        <f t="shared" si="19"/>
        <v>632150</v>
      </c>
      <c r="F78" t="str">
        <f t="shared" si="23"/>
        <v>04/30/17</v>
      </c>
      <c r="G78" t="str">
        <f>"68305A"</f>
        <v>68305A</v>
      </c>
      <c r="H78" s="4">
        <v>0</v>
      </c>
      <c r="I78" s="3"/>
      <c r="J78" t="str">
        <f t="shared" si="21"/>
        <v>ATRION NETWORKING CORPORATION</v>
      </c>
      <c r="K78" t="str">
        <f t="shared" ref="K78:K83" si="24">"3506864"</f>
        <v>3506864</v>
      </c>
      <c r="L78" s="2" t="str">
        <f>"SENIOR ENGINEER SERVICES CAB-16WG-AC CISCO AC POWER CORD"</f>
        <v>SENIOR ENGINEER SERVICES CAB-16WG-AC CISCO AC POWER CORD</v>
      </c>
      <c r="M78" t="str">
        <f>"SVALLANT"</f>
        <v>SVALLANT</v>
      </c>
    </row>
    <row r="79" spans="1:13" ht="30" x14ac:dyDescent="0.25">
      <c r="A79" t="str">
        <f t="shared" si="15"/>
        <v>10</v>
      </c>
      <c r="B79" t="str">
        <f t="shared" si="16"/>
        <v>066</v>
      </c>
      <c r="C79" t="str">
        <f t="shared" si="17"/>
        <v>3010106</v>
      </c>
      <c r="D79" t="str">
        <f t="shared" si="18"/>
        <v>03</v>
      </c>
      <c r="E79" t="str">
        <f t="shared" si="19"/>
        <v>632150</v>
      </c>
      <c r="F79" t="str">
        <f t="shared" si="23"/>
        <v>04/30/17</v>
      </c>
      <c r="G79" t="str">
        <f>"68305A"</f>
        <v>68305A</v>
      </c>
      <c r="H79" s="4">
        <v>0</v>
      </c>
      <c r="I79" s="3"/>
      <c r="J79" t="str">
        <f t="shared" si="21"/>
        <v>ATRION NETWORKING CORPORATION</v>
      </c>
      <c r="K79" t="str">
        <f t="shared" si="24"/>
        <v>3506864</v>
      </c>
      <c r="L79" s="2" t="str">
        <f>"SENIOR ENGINEER SERVICES PWR-CLP CISCO POWER CLIP FOR 3560-C AND 2960-C COMPACT SWITCHESCISCO POWER RETAINER CLIP FOR CISCO 3560-C AND 2960-C COMPACT SWITCH"</f>
        <v>SENIOR ENGINEER SERVICES PWR-CLP CISCO POWER CLIP FOR 3560-C AND 2960-C COMPACT SWITCHESCISCO POWER RETAINER CLIP FOR CISCO 3560-C AND 2960-C COMPACT SWITCH</v>
      </c>
      <c r="M79" t="str">
        <f>"MFUSCO"</f>
        <v>MFUSCO</v>
      </c>
    </row>
    <row r="80" spans="1:13" x14ac:dyDescent="0.25">
      <c r="A80" t="str">
        <f t="shared" si="15"/>
        <v>10</v>
      </c>
      <c r="B80" t="str">
        <f t="shared" si="16"/>
        <v>066</v>
      </c>
      <c r="C80" t="str">
        <f t="shared" si="17"/>
        <v>3010106</v>
      </c>
      <c r="D80" t="str">
        <f t="shared" si="18"/>
        <v>03</v>
      </c>
      <c r="E80" t="str">
        <f t="shared" si="19"/>
        <v>632150</v>
      </c>
      <c r="F80" t="str">
        <f t="shared" si="23"/>
        <v>04/30/17</v>
      </c>
      <c r="G80" t="str">
        <f>"68305A"</f>
        <v>68305A</v>
      </c>
      <c r="H80" s="4">
        <v>0</v>
      </c>
      <c r="I80" s="3"/>
      <c r="J80" t="str">
        <f t="shared" si="21"/>
        <v>ATRION NETWORKING CORPORATION</v>
      </c>
      <c r="K80" t="str">
        <f t="shared" si="24"/>
        <v>3506864</v>
      </c>
      <c r="L80" s="2" t="str">
        <f>"SENIOR ENGINEER SERVICES CAB STK-E-0.5M CISCO FLEXSTACK 50CM STACKING CABLE"</f>
        <v>SENIOR ENGINEER SERVICES CAB STK-E-0.5M CISCO FLEXSTACK 50CM STACKING CABLE</v>
      </c>
      <c r="M80" t="str">
        <f>"MFUSCO"</f>
        <v>MFUSCO</v>
      </c>
    </row>
    <row r="81" spans="1:13" ht="30" x14ac:dyDescent="0.25">
      <c r="A81" t="str">
        <f t="shared" si="15"/>
        <v>10</v>
      </c>
      <c r="B81" t="str">
        <f t="shared" si="16"/>
        <v>066</v>
      </c>
      <c r="C81" t="str">
        <f t="shared" si="17"/>
        <v>3010106</v>
      </c>
      <c r="D81" t="str">
        <f t="shared" si="18"/>
        <v>03</v>
      </c>
      <c r="E81" t="str">
        <f t="shared" si="19"/>
        <v>632150</v>
      </c>
      <c r="F81" t="str">
        <f t="shared" si="23"/>
        <v>04/30/17</v>
      </c>
      <c r="G81" t="str">
        <f>"68305A"</f>
        <v>68305A</v>
      </c>
      <c r="H81" s="4">
        <v>185</v>
      </c>
      <c r="I81" s="3"/>
      <c r="J81" t="str">
        <f t="shared" si="21"/>
        <v>ATRION NETWORKING CORPORATION</v>
      </c>
      <c r="K81" t="str">
        <f t="shared" si="24"/>
        <v>3506864</v>
      </c>
      <c r="L81" s="2" t="str">
        <f>"SENIOR ENGINEER SERVICES 24618 2 FIBER JUMPER 10FT 3M 62.5 MICRON MULTIMODE LC TO SC CERAMIC TIP, PREMIUM PERFORMANCE OM1"</f>
        <v>SENIOR ENGINEER SERVICES 24618 2 FIBER JUMPER 10FT 3M 62.5 MICRON MULTIMODE LC TO SC CERAMIC TIP, PREMIUM PERFORMANCE OM1</v>
      </c>
      <c r="M81" t="str">
        <f>"MFUSCO"</f>
        <v>MFUSCO</v>
      </c>
    </row>
    <row r="82" spans="1:13" x14ac:dyDescent="0.25">
      <c r="A82" t="str">
        <f t="shared" si="15"/>
        <v>10</v>
      </c>
      <c r="B82" t="str">
        <f t="shared" si="16"/>
        <v>066</v>
      </c>
      <c r="C82" t="str">
        <f t="shared" si="17"/>
        <v>3010106</v>
      </c>
      <c r="D82" t="str">
        <f t="shared" si="18"/>
        <v>03</v>
      </c>
      <c r="E82" t="str">
        <f t="shared" si="19"/>
        <v>632150</v>
      </c>
      <c r="F82" t="str">
        <f t="shared" si="23"/>
        <v>04/30/17</v>
      </c>
      <c r="G82" t="str">
        <f>"68305A"</f>
        <v>68305A</v>
      </c>
      <c r="H82" s="4">
        <v>2875</v>
      </c>
      <c r="I82" s="3"/>
      <c r="J82" t="str">
        <f t="shared" si="21"/>
        <v>ATRION NETWORKING CORPORATION</v>
      </c>
      <c r="K82" t="str">
        <f t="shared" si="24"/>
        <v>3506864</v>
      </c>
      <c r="L82" s="2" t="str">
        <f>"SENIOR ENGINEER SERVICES ATRION PROJECT MANAGED PROFESSIONAL SERVICES"</f>
        <v>SENIOR ENGINEER SERVICES ATRION PROJECT MANAGED PROFESSIONAL SERVICES</v>
      </c>
      <c r="M82" t="str">
        <f>"MFUSCO"</f>
        <v>MFUSCO</v>
      </c>
    </row>
    <row r="83" spans="1:13" ht="30" x14ac:dyDescent="0.25">
      <c r="A83" t="str">
        <f t="shared" si="15"/>
        <v>10</v>
      </c>
      <c r="B83" t="str">
        <f t="shared" si="16"/>
        <v>066</v>
      </c>
      <c r="C83" t="str">
        <f t="shared" si="17"/>
        <v>3010106</v>
      </c>
      <c r="D83" t="str">
        <f t="shared" si="18"/>
        <v>03</v>
      </c>
      <c r="E83" t="str">
        <f t="shared" si="19"/>
        <v>632150</v>
      </c>
      <c r="F83" t="str">
        <f>"05/31/17"</f>
        <v>05/31/17</v>
      </c>
      <c r="G83" t="str">
        <f>"0086151-IN"</f>
        <v>0086151-IN</v>
      </c>
      <c r="H83" s="4">
        <v>806.4</v>
      </c>
      <c r="I83" s="3"/>
      <c r="J83" t="str">
        <f t="shared" si="21"/>
        <v>ATRION NETWORKING CORPORATION</v>
      </c>
      <c r="K83" t="str">
        <f t="shared" si="24"/>
        <v>3506864</v>
      </c>
      <c r="L83" s="2" t="str">
        <f>"SENIOR ENGINEER SERVICES CON-SNT-WSC296XL SNTC 85XNBD CATALYST 2960-X 48 GIGE POE 740W, 2 X 10G SFP+, LAN BASE"</f>
        <v>SENIOR ENGINEER SERVICES CON-SNT-WSC296XL SNTC 85XNBD CATALYST 2960-X 48 GIGE POE 740W, 2 X 10G SFP+, LAN BASE</v>
      </c>
      <c r="M83" t="str">
        <f>"MFUSCO"</f>
        <v>MFUSCO</v>
      </c>
    </row>
    <row r="84" spans="1:13" x14ac:dyDescent="0.25">
      <c r="A84" t="str">
        <f t="shared" si="15"/>
        <v>10</v>
      </c>
      <c r="B84" t="str">
        <f t="shared" si="16"/>
        <v>066</v>
      </c>
      <c r="C84" t="str">
        <f t="shared" si="17"/>
        <v>3010106</v>
      </c>
      <c r="D84" t="str">
        <f t="shared" si="18"/>
        <v>03</v>
      </c>
      <c r="E84" t="str">
        <f t="shared" si="19"/>
        <v>632150</v>
      </c>
      <c r="F84" t="str">
        <f>"05/31/17"</f>
        <v>05/31/17</v>
      </c>
      <c r="G84" t="str">
        <f>"68005A"</f>
        <v>68005A</v>
      </c>
      <c r="H84" s="4">
        <v>13194.72</v>
      </c>
      <c r="I84" s="3"/>
      <c r="J84" t="str">
        <f t="shared" si="21"/>
        <v>ATRION NETWORKING CORPORATION</v>
      </c>
      <c r="K84" t="str">
        <f>"3504495"</f>
        <v>3504495</v>
      </c>
      <c r="L84" s="2" t="str">
        <f>"FG-300D-BDL-950-12 HARDEWARE PLUX 24 X 7 FORTICARE AND FORTIGUART UTM BUNDLE"</f>
        <v>FG-300D-BDL-950-12 HARDEWARE PLUX 24 X 7 FORTICARE AND FORTIGUART UTM BUNDLE</v>
      </c>
      <c r="M84" t="str">
        <f>"SVALLANT"</f>
        <v>SVALLANT</v>
      </c>
    </row>
    <row r="85" spans="1:13" x14ac:dyDescent="0.25">
      <c r="A85" t="str">
        <f t="shared" si="15"/>
        <v>10</v>
      </c>
      <c r="B85" t="str">
        <f t="shared" si="16"/>
        <v>066</v>
      </c>
      <c r="C85" t="str">
        <f t="shared" si="17"/>
        <v>3010106</v>
      </c>
      <c r="D85" t="str">
        <f t="shared" si="18"/>
        <v>03</v>
      </c>
      <c r="E85" t="str">
        <f t="shared" si="19"/>
        <v>632150</v>
      </c>
      <c r="F85" t="str">
        <f>"05/31/17"</f>
        <v>05/31/17</v>
      </c>
      <c r="G85" t="str">
        <f>"68005A"</f>
        <v>68005A</v>
      </c>
      <c r="H85" s="4">
        <v>3300</v>
      </c>
      <c r="I85" s="3"/>
      <c r="J85" t="str">
        <f t="shared" si="21"/>
        <v>ATRION NETWORKING CORPORATION</v>
      </c>
      <c r="K85" t="str">
        <f>"3504495"</f>
        <v>3504495</v>
      </c>
      <c r="L85" s="2" t="str">
        <f>"ATRION PROJECT MANAGED PROFESSIONAL SERVICES"</f>
        <v>ATRION PROJECT MANAGED PROFESSIONAL SERVICES</v>
      </c>
      <c r="M85" t="str">
        <f>"SVALLANT"</f>
        <v>SVALLANT</v>
      </c>
    </row>
    <row r="86" spans="1:13" x14ac:dyDescent="0.25">
      <c r="A86" t="str">
        <f t="shared" si="15"/>
        <v>10</v>
      </c>
      <c r="B86" t="str">
        <f t="shared" si="16"/>
        <v>066</v>
      </c>
      <c r="C86" t="str">
        <f t="shared" si="17"/>
        <v>3010106</v>
      </c>
      <c r="D86" t="str">
        <f t="shared" si="18"/>
        <v>03</v>
      </c>
      <c r="E86" t="str">
        <f>"632160"</f>
        <v>632160</v>
      </c>
      <c r="F86" t="str">
        <f>"02/28/15"</f>
        <v>02/28/15</v>
      </c>
      <c r="G86" t="str">
        <f>"0069779-IN"</f>
        <v>0069779-IN</v>
      </c>
      <c r="H86" s="4">
        <v>3500</v>
      </c>
      <c r="I86" s="3"/>
      <c r="J86" t="str">
        <f t="shared" si="21"/>
        <v>ATRION NETWORKING CORPORATION</v>
      </c>
      <c r="K86" t="str">
        <f>"3395803"</f>
        <v>3395803</v>
      </c>
      <c r="L86" s="2" t="str">
        <f>"Network configuration and services"</f>
        <v>Network configuration and services</v>
      </c>
      <c r="M86" t="str">
        <f>"SVALLANT"</f>
        <v>SVALLANT</v>
      </c>
    </row>
    <row r="87" spans="1:13" x14ac:dyDescent="0.25">
      <c r="A87" t="str">
        <f t="shared" si="15"/>
        <v>10</v>
      </c>
      <c r="B87" t="str">
        <f t="shared" si="16"/>
        <v>066</v>
      </c>
      <c r="C87" t="str">
        <f t="shared" si="17"/>
        <v>3010106</v>
      </c>
      <c r="D87" t="str">
        <f t="shared" si="18"/>
        <v>03</v>
      </c>
      <c r="E87" t="str">
        <f>"632160"</f>
        <v>632160</v>
      </c>
      <c r="F87" t="str">
        <f>"05/31/15"</f>
        <v>05/31/15</v>
      </c>
      <c r="G87" t="str">
        <f>"0071456-IN"</f>
        <v>0071456-IN</v>
      </c>
      <c r="H87" s="4">
        <v>525</v>
      </c>
      <c r="I87" s="3"/>
      <c r="J87" t="str">
        <f t="shared" si="21"/>
        <v>ATRION NETWORKING CORPORATION</v>
      </c>
      <c r="K87" t="str">
        <f>"3395803"</f>
        <v>3395803</v>
      </c>
      <c r="L87" s="2" t="str">
        <f>"Network configuration and services"</f>
        <v>Network configuration and services</v>
      </c>
      <c r="M87" t="str">
        <f>"SVALLANT"</f>
        <v>SVALLANT</v>
      </c>
    </row>
    <row r="88" spans="1:13" x14ac:dyDescent="0.25">
      <c r="A88" t="str">
        <f t="shared" si="15"/>
        <v>10</v>
      </c>
      <c r="B88" t="str">
        <f t="shared" si="16"/>
        <v>066</v>
      </c>
      <c r="C88" t="str">
        <f t="shared" si="17"/>
        <v>3010106</v>
      </c>
      <c r="D88" t="str">
        <f t="shared" si="18"/>
        <v>03</v>
      </c>
      <c r="E88" t="str">
        <f>"632160"</f>
        <v>632160</v>
      </c>
      <c r="F88" t="str">
        <f>"06/30/17"</f>
        <v>06/30/17</v>
      </c>
      <c r="G88" t="str">
        <f>"69156A"</f>
        <v>69156A</v>
      </c>
      <c r="H88" s="4">
        <v>2875</v>
      </c>
      <c r="I88" s="3"/>
      <c r="J88" t="str">
        <f t="shared" si="21"/>
        <v>ATRION NETWORKING CORPORATION</v>
      </c>
      <c r="K88" t="str">
        <f>"3514173"</f>
        <v>3514173</v>
      </c>
      <c r="L88" s="2" t="str">
        <f>"Atrion?s Project Managed Professional Services"</f>
        <v>Atrion?s Project Managed Professional Services</v>
      </c>
      <c r="M88" t="str">
        <f>"SVALLANT"</f>
        <v>SVALLANT</v>
      </c>
    </row>
    <row r="89" spans="1:13" ht="30" x14ac:dyDescent="0.25">
      <c r="A89" t="str">
        <f t="shared" si="15"/>
        <v>10</v>
      </c>
      <c r="B89" t="str">
        <f t="shared" si="16"/>
        <v>066</v>
      </c>
      <c r="C89" t="str">
        <f t="shared" si="17"/>
        <v>3010106</v>
      </c>
      <c r="D89" t="str">
        <f t="shared" si="18"/>
        <v>03</v>
      </c>
      <c r="E89" t="str">
        <f>"632180"</f>
        <v>632180</v>
      </c>
      <c r="F89" t="str">
        <f>"03/31/15"</f>
        <v>03/31/15</v>
      </c>
      <c r="G89" t="str">
        <f>"0071195-IN"</f>
        <v>0071195-IN</v>
      </c>
      <c r="H89" s="4">
        <v>2850</v>
      </c>
      <c r="I89" s="3"/>
      <c r="J89" t="str">
        <f t="shared" si="21"/>
        <v>ATRION NETWORKING CORPORATION</v>
      </c>
      <c r="K89" t="str">
        <f>"3412940"</f>
        <v>3412940</v>
      </c>
      <c r="L89" s="2" t="str">
        <f>"Atrion's Project Managed Professional Services - Network New IP Scheme - Proposal # 106790_QU19005"</f>
        <v>Atrion's Project Managed Professional Services - Network New IP Scheme - Proposal # 106790_QU19005</v>
      </c>
      <c r="M89" t="str">
        <f>"MFUSCO"</f>
        <v>MFUSCO</v>
      </c>
    </row>
    <row r="90" spans="1:13" ht="30" x14ac:dyDescent="0.25">
      <c r="A90" t="str">
        <f t="shared" si="15"/>
        <v>10</v>
      </c>
      <c r="B90" t="str">
        <f t="shared" si="16"/>
        <v>066</v>
      </c>
      <c r="C90" t="str">
        <f t="shared" si="17"/>
        <v>3010106</v>
      </c>
      <c r="D90" t="str">
        <f t="shared" si="18"/>
        <v>03</v>
      </c>
      <c r="E90" t="str">
        <f>"632180"</f>
        <v>632180</v>
      </c>
      <c r="F90" t="str">
        <f>"05/31/17"</f>
        <v>05/31/17</v>
      </c>
      <c r="G90" t="str">
        <f>"0075693-IN"</f>
        <v>0075693-IN</v>
      </c>
      <c r="H90" s="4">
        <v>2850</v>
      </c>
      <c r="I90" s="3"/>
      <c r="J90" t="str">
        <f t="shared" si="21"/>
        <v>ATRION NETWORKING CORPORATION</v>
      </c>
      <c r="K90" t="str">
        <f>"3515586"</f>
        <v>3515586</v>
      </c>
      <c r="L90" s="2" t="str">
        <f>"Atrion's Project Managed Professional Services - Network New IP Scheme - Proposal # 106790_QU19005"</f>
        <v>Atrion's Project Managed Professional Services - Network New IP Scheme - Proposal # 106790_QU19005</v>
      </c>
      <c r="M90" t="str">
        <f>"SVALLANT"</f>
        <v>SVALLANT</v>
      </c>
    </row>
    <row r="91" spans="1:13" ht="45" x14ac:dyDescent="0.25">
      <c r="A91" t="str">
        <f t="shared" si="15"/>
        <v>10</v>
      </c>
      <c r="B91" t="str">
        <f t="shared" si="16"/>
        <v>066</v>
      </c>
      <c r="C91" t="str">
        <f t="shared" si="17"/>
        <v>3010106</v>
      </c>
      <c r="D91" t="str">
        <f t="shared" si="18"/>
        <v>03</v>
      </c>
      <c r="E91" t="str">
        <f>"641200"</f>
        <v>641200</v>
      </c>
      <c r="F91" t="str">
        <f>"12/31/16"</f>
        <v>12/31/16</v>
      </c>
      <c r="G91" t="str">
        <f>"64021-A"</f>
        <v>64021-A</v>
      </c>
      <c r="H91" s="4">
        <v>26334.9</v>
      </c>
      <c r="I91" s="3"/>
      <c r="J91" t="str">
        <f t="shared" si="21"/>
        <v>ATRION NETWORKING CORPORATION</v>
      </c>
      <c r="K91" t="str">
        <f>"3472774"</f>
        <v>3472774</v>
      </c>
      <c r="L91" s="2" t="str">
        <f>"Maxtime Support for effective dates 7/1/16-6/30-17. Equipment support for Cisco router-switch and Fortigate firewall. Supported devices can be found on asset sheet included in proposal #1067"</f>
        <v>Maxtime Support for effective dates 7/1/16-6/30-17. Equipment support for Cisco router-switch and Fortigate firewall. Supported devices can be found on asset sheet included in proposal #1067</v>
      </c>
      <c r="M91" t="str">
        <f>"MFUSCO"</f>
        <v>MFUSCO</v>
      </c>
    </row>
    <row r="92" spans="1:13" x14ac:dyDescent="0.25">
      <c r="A92" t="str">
        <f t="shared" si="15"/>
        <v>10</v>
      </c>
      <c r="B92" t="str">
        <f t="shared" si="16"/>
        <v>066</v>
      </c>
      <c r="C92" t="str">
        <f t="shared" si="17"/>
        <v>3010106</v>
      </c>
      <c r="D92" t="str">
        <f t="shared" si="18"/>
        <v>03</v>
      </c>
      <c r="E92" t="str">
        <f t="shared" ref="E92:E99" si="25">"661701"</f>
        <v>661701</v>
      </c>
      <c r="F92" t="str">
        <f>"04/30/17"</f>
        <v>04/30/17</v>
      </c>
      <c r="G92" t="str">
        <f>"68305A"</f>
        <v>68305A</v>
      </c>
      <c r="H92" s="4">
        <v>9354.16</v>
      </c>
      <c r="I92" s="3"/>
      <c r="J92" t="str">
        <f t="shared" si="21"/>
        <v>ATRION NETWORKING CORPORATION</v>
      </c>
      <c r="K92" t="str">
        <f>"3506864"</f>
        <v>3506864</v>
      </c>
      <c r="L92" s="2" t="str">
        <f>"WS-C2960X-48FPD-L CATALYST 2960-X 48 GIGE POE 740W, 2X10G SFP+, LAN BASE"</f>
        <v>WS-C2960X-48FPD-L CATALYST 2960-X 48 GIGE POE 740W, 2X10G SFP+, LAN BASE</v>
      </c>
      <c r="M92" t="str">
        <f>"SVALLANT"</f>
        <v>SVALLANT</v>
      </c>
    </row>
    <row r="93" spans="1:13" x14ac:dyDescent="0.25">
      <c r="A93" t="str">
        <f t="shared" si="15"/>
        <v>10</v>
      </c>
      <c r="B93" t="str">
        <f t="shared" si="16"/>
        <v>066</v>
      </c>
      <c r="C93" t="str">
        <f t="shared" si="17"/>
        <v>3010106</v>
      </c>
      <c r="D93" t="str">
        <f t="shared" si="18"/>
        <v>03</v>
      </c>
      <c r="E93" t="str">
        <f t="shared" si="25"/>
        <v>661701</v>
      </c>
      <c r="F93" t="str">
        <f>"04/30/17"</f>
        <v>04/30/17</v>
      </c>
      <c r="G93" t="str">
        <f>"68305A"</f>
        <v>68305A</v>
      </c>
      <c r="H93" s="4">
        <v>1398.16</v>
      </c>
      <c r="I93" s="3"/>
      <c r="J93" t="str">
        <f t="shared" si="21"/>
        <v>ATRION NETWORKING CORPORATION</v>
      </c>
      <c r="K93" t="str">
        <f>"3506864"</f>
        <v>3506864</v>
      </c>
      <c r="L93" s="2" t="str">
        <f>"C2960X-STACK CATALYST 2960 X FLEXSTACK PLUS STACKING MODULE"</f>
        <v>C2960X-STACK CATALYST 2960 X FLEXSTACK PLUS STACKING MODULE</v>
      </c>
      <c r="M93" t="str">
        <f t="shared" ref="M93:M100" si="26">"MFUSCO"</f>
        <v>MFUSCO</v>
      </c>
    </row>
    <row r="94" spans="1:13" x14ac:dyDescent="0.25">
      <c r="A94" t="str">
        <f t="shared" si="15"/>
        <v>10</v>
      </c>
      <c r="B94" t="str">
        <f t="shared" si="16"/>
        <v>066</v>
      </c>
      <c r="C94" t="str">
        <f t="shared" si="17"/>
        <v>3010106</v>
      </c>
      <c r="D94" t="str">
        <f t="shared" si="18"/>
        <v>03</v>
      </c>
      <c r="E94" t="str">
        <f t="shared" si="25"/>
        <v>661701</v>
      </c>
      <c r="F94" t="str">
        <f t="shared" ref="F94:F99" si="27">"06/30/17"</f>
        <v>06/30/17</v>
      </c>
      <c r="G94" t="str">
        <f t="shared" ref="G94:G99" si="28">"69156A"</f>
        <v>69156A</v>
      </c>
      <c r="H94" s="4">
        <v>0</v>
      </c>
      <c r="I94" s="3"/>
      <c r="J94" t="str">
        <f t="shared" si="21"/>
        <v>ATRION NETWORKING CORPORATION</v>
      </c>
      <c r="K94" t="str">
        <f t="shared" ref="K94:K99" si="29">"3514173"</f>
        <v>3514173</v>
      </c>
      <c r="L94" s="2" t="str">
        <f>"Cisco FlexStack 50cm stacking cable (CAB-STK-E-0.5M);;"</f>
        <v>Cisco FlexStack 50cm stacking cable (CAB-STK-E-0.5M);;</v>
      </c>
      <c r="M94" t="str">
        <f t="shared" si="26"/>
        <v>MFUSCO</v>
      </c>
    </row>
    <row r="95" spans="1:13" x14ac:dyDescent="0.25">
      <c r="A95" t="str">
        <f t="shared" si="15"/>
        <v>10</v>
      </c>
      <c r="B95" t="str">
        <f t="shared" si="16"/>
        <v>066</v>
      </c>
      <c r="C95" t="str">
        <f t="shared" si="17"/>
        <v>3010106</v>
      </c>
      <c r="D95" t="str">
        <f t="shared" si="18"/>
        <v>03</v>
      </c>
      <c r="E95" t="str">
        <f t="shared" si="25"/>
        <v>661701</v>
      </c>
      <c r="F95" t="str">
        <f t="shared" si="27"/>
        <v>06/30/17</v>
      </c>
      <c r="G95" t="str">
        <f t="shared" si="28"/>
        <v>69156A</v>
      </c>
      <c r="H95" s="4">
        <v>9354.16</v>
      </c>
      <c r="I95" s="3"/>
      <c r="J95" t="str">
        <f t="shared" si="21"/>
        <v>ATRION NETWORKING CORPORATION</v>
      </c>
      <c r="K95" t="str">
        <f t="shared" si="29"/>
        <v>3514173</v>
      </c>
      <c r="L95" s="2" t="str">
        <f>"Catalyst 2960-X 48 GigE PoE 740W, 2 x 10G SFP+, LAN Base (WS-C2960X-48FPD-L);;"</f>
        <v>Catalyst 2960-X 48 GigE PoE 740W, 2 x 10G SFP+, LAN Base (WS-C2960X-48FPD-L);;</v>
      </c>
      <c r="M95" t="str">
        <f t="shared" si="26"/>
        <v>MFUSCO</v>
      </c>
    </row>
    <row r="96" spans="1:13" ht="30" x14ac:dyDescent="0.25">
      <c r="A96" t="str">
        <f t="shared" si="15"/>
        <v>10</v>
      </c>
      <c r="B96" t="str">
        <f t="shared" si="16"/>
        <v>066</v>
      </c>
      <c r="C96" t="str">
        <f t="shared" si="17"/>
        <v>3010106</v>
      </c>
      <c r="D96" t="str">
        <f t="shared" si="18"/>
        <v>03</v>
      </c>
      <c r="E96" t="str">
        <f t="shared" si="25"/>
        <v>661701</v>
      </c>
      <c r="F96" t="str">
        <f t="shared" si="27"/>
        <v>06/30/17</v>
      </c>
      <c r="G96" t="str">
        <f t="shared" si="28"/>
        <v>69156A</v>
      </c>
      <c r="H96" s="4">
        <v>0</v>
      </c>
      <c r="I96" s="3"/>
      <c r="J96" t="str">
        <f t="shared" si="21"/>
        <v>ATRION NETWORKING CORPORATION</v>
      </c>
      <c r="K96" t="str">
        <f t="shared" si="29"/>
        <v>3514173</v>
      </c>
      <c r="L96" s="2" t="str">
        <f>"Cisco Power Clip for 3560-C and 2960-C Compact Switches Cisco Power Retainer Clip For Cisco 3560-C and 2960-C Compact Switch (PWR-CLP);;"</f>
        <v>Cisco Power Clip for 3560-C and 2960-C Compact Switches Cisco Power Retainer Clip For Cisco 3560-C and 2960-C Compact Switch (PWR-CLP);;</v>
      </c>
      <c r="M96" t="str">
        <f t="shared" si="26"/>
        <v>MFUSCO</v>
      </c>
    </row>
    <row r="97" spans="1:13" x14ac:dyDescent="0.25">
      <c r="A97" t="str">
        <f t="shared" si="15"/>
        <v>10</v>
      </c>
      <c r="B97" t="str">
        <f t="shared" si="16"/>
        <v>066</v>
      </c>
      <c r="C97" t="str">
        <f t="shared" si="17"/>
        <v>3010106</v>
      </c>
      <c r="D97" t="str">
        <f t="shared" si="18"/>
        <v>03</v>
      </c>
      <c r="E97" t="str">
        <f t="shared" si="25"/>
        <v>661701</v>
      </c>
      <c r="F97" t="str">
        <f t="shared" si="27"/>
        <v>06/30/17</v>
      </c>
      <c r="G97" t="str">
        <f t="shared" si="28"/>
        <v>69156A</v>
      </c>
      <c r="H97" s="4">
        <v>0</v>
      </c>
      <c r="I97" s="3"/>
      <c r="J97" t="str">
        <f t="shared" si="21"/>
        <v>ATRION NETWORKING CORPORATION</v>
      </c>
      <c r="K97" t="str">
        <f t="shared" si="29"/>
        <v>3514173</v>
      </c>
      <c r="L97" s="2" t="str">
        <f>"CISCO AC POWER CORD;(CAB-16AWG-AC);;"</f>
        <v>CISCO AC POWER CORD;(CAB-16AWG-AC);;</v>
      </c>
      <c r="M97" t="str">
        <f t="shared" si="26"/>
        <v>MFUSCO</v>
      </c>
    </row>
    <row r="98" spans="1:13" ht="30" x14ac:dyDescent="0.25">
      <c r="A98" t="str">
        <f t="shared" si="15"/>
        <v>10</v>
      </c>
      <c r="B98" t="str">
        <f t="shared" si="16"/>
        <v>066</v>
      </c>
      <c r="C98" t="str">
        <f t="shared" si="17"/>
        <v>3010106</v>
      </c>
      <c r="D98" t="str">
        <f t="shared" si="18"/>
        <v>03</v>
      </c>
      <c r="E98" t="str">
        <f t="shared" si="25"/>
        <v>661701</v>
      </c>
      <c r="F98" t="str">
        <f t="shared" si="27"/>
        <v>06/30/17</v>
      </c>
      <c r="G98" t="str">
        <f t="shared" si="28"/>
        <v>69156A</v>
      </c>
      <c r="H98" s="4">
        <v>185</v>
      </c>
      <c r="I98" s="3"/>
      <c r="J98" t="str">
        <f t="shared" si="21"/>
        <v>ATRION NETWORKING CORPORATION</v>
      </c>
      <c r="K98" t="str">
        <f t="shared" si="29"/>
        <v>3514173</v>
      </c>
      <c r="L98" s="2" t="str">
        <f>"2-Fiber Jumper 10ft / 3m 62.5 micron multimode LC to SC ceramic tip, Premium Performance OM1 (246818)"</f>
        <v>2-Fiber Jumper 10ft / 3m 62.5 micron multimode LC to SC ceramic tip, Premium Performance OM1 (246818)</v>
      </c>
      <c r="M98" t="str">
        <f t="shared" si="26"/>
        <v>MFUSCO</v>
      </c>
    </row>
    <row r="99" spans="1:13" x14ac:dyDescent="0.25">
      <c r="A99" t="str">
        <f t="shared" si="15"/>
        <v>10</v>
      </c>
      <c r="B99" t="str">
        <f t="shared" si="16"/>
        <v>066</v>
      </c>
      <c r="C99" t="str">
        <f t="shared" si="17"/>
        <v>3010106</v>
      </c>
      <c r="D99" t="str">
        <f t="shared" si="18"/>
        <v>03</v>
      </c>
      <c r="E99" t="str">
        <f t="shared" si="25"/>
        <v>661701</v>
      </c>
      <c r="F99" t="str">
        <f t="shared" si="27"/>
        <v>06/30/17</v>
      </c>
      <c r="G99" t="str">
        <f t="shared" si="28"/>
        <v>69156A</v>
      </c>
      <c r="H99" s="4">
        <v>1398.16</v>
      </c>
      <c r="I99" s="3"/>
      <c r="J99" t="str">
        <f t="shared" si="21"/>
        <v>ATRION NETWORKING CORPORATION</v>
      </c>
      <c r="K99" t="str">
        <f t="shared" si="29"/>
        <v>3514173</v>
      </c>
      <c r="L99" s="2" t="str">
        <f>"Catalyst 2960-X FlexStack Plus Stacking Module (C2960X-STACK);;"</f>
        <v>Catalyst 2960-X FlexStack Plus Stacking Module (C2960X-STACK);;</v>
      </c>
      <c r="M99" t="str">
        <f t="shared" si="26"/>
        <v>MFUSCO</v>
      </c>
    </row>
    <row r="100" spans="1:13" ht="30" x14ac:dyDescent="0.25">
      <c r="A100" t="str">
        <f t="shared" si="15"/>
        <v>10</v>
      </c>
      <c r="B100" t="str">
        <f t="shared" si="16"/>
        <v>066</v>
      </c>
      <c r="C100" t="str">
        <f t="shared" si="17"/>
        <v>3010106</v>
      </c>
      <c r="D100" t="str">
        <f t="shared" si="18"/>
        <v>03</v>
      </c>
      <c r="E100" t="str">
        <f t="shared" ref="E100:E144" si="30">"661711"</f>
        <v>661711</v>
      </c>
      <c r="F100" t="str">
        <f>"01/31/15"</f>
        <v>01/31/15</v>
      </c>
      <c r="G100" t="str">
        <f>"0069606-IN"</f>
        <v>0069606-IN</v>
      </c>
      <c r="H100" s="4">
        <v>-877.2</v>
      </c>
      <c r="I100" s="3"/>
      <c r="J100" t="str">
        <f t="shared" si="21"/>
        <v>ATRION NETWORKING CORPORATION</v>
      </c>
      <c r="K100" t="str">
        <f>"3404470"</f>
        <v>3404470</v>
      </c>
      <c r="L100" s="2" t="str">
        <f>"COMPU-LINK LCCLCC50+D3 2-F JUMPER 10FT/3MTR 50/125 LC TO LC CERAMIC TIP 50 MICRON OM3/SX300 AQUA"</f>
        <v>COMPU-LINK LCCLCC50+D3 2-F JUMPER 10FT/3MTR 50/125 LC TO LC CERAMIC TIP 50 MICRON OM3/SX300 AQUA</v>
      </c>
      <c r="M100" t="str">
        <f t="shared" si="26"/>
        <v>MFUSCO</v>
      </c>
    </row>
    <row r="101" spans="1:13" x14ac:dyDescent="0.25">
      <c r="A101" t="str">
        <f t="shared" si="15"/>
        <v>10</v>
      </c>
      <c r="B101" t="str">
        <f t="shared" si="16"/>
        <v>066</v>
      </c>
      <c r="C101" t="str">
        <f t="shared" si="17"/>
        <v>3010106</v>
      </c>
      <c r="D101" t="str">
        <f t="shared" si="18"/>
        <v>03</v>
      </c>
      <c r="E101" t="str">
        <f t="shared" si="30"/>
        <v>661711</v>
      </c>
      <c r="F101" t="str">
        <f>"01/31/15"</f>
        <v>01/31/15</v>
      </c>
      <c r="G101" t="str">
        <f>"0069606-IN"</f>
        <v>0069606-IN</v>
      </c>
      <c r="H101" s="4">
        <v>-11641.6</v>
      </c>
      <c r="I101" s="3"/>
      <c r="J101" t="str">
        <f t="shared" si="21"/>
        <v>ATRION NETWORKING CORPORATION</v>
      </c>
      <c r="K101" t="str">
        <f>"3404470"</f>
        <v>3404470</v>
      </c>
      <c r="L101" s="2" t="str">
        <f>"10GBASE-SR SFP MODULE"</f>
        <v>10GBASE-SR SFP MODULE</v>
      </c>
      <c r="M101" t="str">
        <f>"MRABITAI"</f>
        <v>MRABITAI</v>
      </c>
    </row>
    <row r="102" spans="1:13" ht="30" x14ac:dyDescent="0.25">
      <c r="A102" t="str">
        <f t="shared" si="15"/>
        <v>10</v>
      </c>
      <c r="B102" t="str">
        <f t="shared" si="16"/>
        <v>066</v>
      </c>
      <c r="C102" t="str">
        <f t="shared" si="17"/>
        <v>3010106</v>
      </c>
      <c r="D102" t="str">
        <f t="shared" si="18"/>
        <v>03</v>
      </c>
      <c r="E102" t="str">
        <f t="shared" si="30"/>
        <v>661711</v>
      </c>
      <c r="F102" t="str">
        <f>"02/28/15"</f>
        <v>02/28/15</v>
      </c>
      <c r="G102" t="str">
        <f>"0069606-IN - SXA"</f>
        <v>0069606-IN - SXA</v>
      </c>
      <c r="H102" s="4">
        <v>877.2</v>
      </c>
      <c r="I102" s="3"/>
      <c r="J102" t="str">
        <f t="shared" si="21"/>
        <v>ATRION NETWORKING CORPORATION</v>
      </c>
      <c r="K102" t="str">
        <f>"3404470"</f>
        <v>3404470</v>
      </c>
      <c r="L102" s="2" t="str">
        <f>"COMPU-LINK LCCLCC50+D3 2-F JUMPER 10FT/3MTR 50/125 LC TO LC CERAMIC TIP 50 MICRON OM3/SX300 AQUA"</f>
        <v>COMPU-LINK LCCLCC50+D3 2-F JUMPER 10FT/3MTR 50/125 LC TO LC CERAMIC TIP 50 MICRON OM3/SX300 AQUA</v>
      </c>
      <c r="M102" t="str">
        <f>"MRABITAI"</f>
        <v>MRABITAI</v>
      </c>
    </row>
    <row r="103" spans="1:13" x14ac:dyDescent="0.25">
      <c r="A103" t="str">
        <f t="shared" si="15"/>
        <v>10</v>
      </c>
      <c r="B103" t="str">
        <f t="shared" si="16"/>
        <v>066</v>
      </c>
      <c r="C103" t="str">
        <f t="shared" si="17"/>
        <v>3010106</v>
      </c>
      <c r="D103" t="str">
        <f t="shared" si="18"/>
        <v>03</v>
      </c>
      <c r="E103" t="str">
        <f t="shared" si="30"/>
        <v>661711</v>
      </c>
      <c r="F103" t="str">
        <f>"02/28/15"</f>
        <v>02/28/15</v>
      </c>
      <c r="G103" t="str">
        <f>"0069606-IN - SXA"</f>
        <v>0069606-IN - SXA</v>
      </c>
      <c r="H103" s="4">
        <v>11641.6</v>
      </c>
      <c r="I103" s="3"/>
      <c r="J103" t="str">
        <f t="shared" si="21"/>
        <v>ATRION NETWORKING CORPORATION</v>
      </c>
      <c r="K103" t="str">
        <f>"3404470"</f>
        <v>3404470</v>
      </c>
      <c r="L103" s="2" t="str">
        <f>"10GBASE-SR SFP MODULE"</f>
        <v>10GBASE-SR SFP MODULE</v>
      </c>
      <c r="M103" t="str">
        <f>"SVALLANT"</f>
        <v>SVALLANT</v>
      </c>
    </row>
    <row r="104" spans="1:13" x14ac:dyDescent="0.25">
      <c r="A104" t="str">
        <f t="shared" si="15"/>
        <v>10</v>
      </c>
      <c r="B104" t="str">
        <f t="shared" si="16"/>
        <v>066</v>
      </c>
      <c r="C104" t="str">
        <f t="shared" si="17"/>
        <v>3010106</v>
      </c>
      <c r="D104" t="str">
        <f t="shared" si="18"/>
        <v>03</v>
      </c>
      <c r="E104" t="str">
        <f t="shared" si="30"/>
        <v>661711</v>
      </c>
      <c r="F104" t="str">
        <f t="shared" ref="F104:F126" si="31">"06/30/14"</f>
        <v>06/30/14</v>
      </c>
      <c r="G104" t="str">
        <f>"0066361-IN"</f>
        <v>0066361-IN</v>
      </c>
      <c r="H104" s="4">
        <v>10099.4</v>
      </c>
      <c r="I104" s="3"/>
      <c r="J104" t="str">
        <f t="shared" si="21"/>
        <v>ATRION NETWORKING CORPORATION</v>
      </c>
      <c r="K104" t="str">
        <f t="shared" ref="K104:K126" si="32">"3381090"</f>
        <v>3381090</v>
      </c>
      <c r="L104" s="2" t="str">
        <f>"2014-15 PR Maxtime Support Onsite 5/1/14-6/30/15 - Please see Asset List for Details"</f>
        <v>2014-15 PR Maxtime Support Onsite 5/1/14-6/30/15 - Please see Asset List for Details</v>
      </c>
      <c r="M104" t="str">
        <f>"SVALLANT"</f>
        <v>SVALLANT</v>
      </c>
    </row>
    <row r="105" spans="1:13" x14ac:dyDescent="0.25">
      <c r="A105" t="str">
        <f t="shared" si="15"/>
        <v>10</v>
      </c>
      <c r="B105" t="str">
        <f t="shared" si="16"/>
        <v>066</v>
      </c>
      <c r="C105" t="str">
        <f t="shared" si="17"/>
        <v>3010106</v>
      </c>
      <c r="D105" t="str">
        <f t="shared" si="18"/>
        <v>03</v>
      </c>
      <c r="E105" t="str">
        <f t="shared" si="30"/>
        <v>661711</v>
      </c>
      <c r="F105" t="str">
        <f t="shared" si="31"/>
        <v>06/30/14</v>
      </c>
      <c r="G105" t="str">
        <f t="shared" ref="G105:G126" si="33">"54115-A"</f>
        <v>54115-A</v>
      </c>
      <c r="H105" s="4">
        <v>2328.3200000000002</v>
      </c>
      <c r="I105" s="3"/>
      <c r="J105" t="str">
        <f t="shared" si="21"/>
        <v>ATRION NETWORKING CORPORATION</v>
      </c>
      <c r="K105" t="str">
        <f t="shared" si="32"/>
        <v>3381090</v>
      </c>
      <c r="L105" s="2" t="str">
        <f>"10GBASE-SR SFP Module - Product No.: SFP-10G-SR="</f>
        <v>10GBASE-SR SFP Module - Product No.: SFP-10G-SR=</v>
      </c>
      <c r="M105" t="str">
        <f>"SVALLANT"</f>
        <v>SVALLANT</v>
      </c>
    </row>
    <row r="106" spans="1:13" x14ac:dyDescent="0.25">
      <c r="A106" t="str">
        <f t="shared" si="15"/>
        <v>10</v>
      </c>
      <c r="B106" t="str">
        <f t="shared" si="16"/>
        <v>066</v>
      </c>
      <c r="C106" t="str">
        <f t="shared" si="17"/>
        <v>3010106</v>
      </c>
      <c r="D106" t="str">
        <f t="shared" si="18"/>
        <v>03</v>
      </c>
      <c r="E106" t="str">
        <f t="shared" si="30"/>
        <v>661711</v>
      </c>
      <c r="F106" t="str">
        <f t="shared" si="31"/>
        <v>06/30/14</v>
      </c>
      <c r="G106" t="str">
        <f t="shared" si="33"/>
        <v>54115-A</v>
      </c>
      <c r="H106" s="4">
        <v>2925</v>
      </c>
      <c r="I106" s="3"/>
      <c r="J106" t="str">
        <f t="shared" si="21"/>
        <v>ATRION NETWORKING CORPORATION</v>
      </c>
      <c r="K106" t="str">
        <f t="shared" si="32"/>
        <v>3381090</v>
      </c>
      <c r="L106" s="2" t="str">
        <f>"Catalyst 3K-X 10G Network Module - Product No.: C3KX-NM-10G="</f>
        <v>Catalyst 3K-X 10G Network Module - Product No.: C3KX-NM-10G=</v>
      </c>
      <c r="M106" t="str">
        <f t="shared" ref="M106:M127" si="34">"MFUSCO"</f>
        <v>MFUSCO</v>
      </c>
    </row>
    <row r="107" spans="1:13" ht="30" x14ac:dyDescent="0.25">
      <c r="A107" t="str">
        <f t="shared" si="15"/>
        <v>10</v>
      </c>
      <c r="B107" t="str">
        <f t="shared" si="16"/>
        <v>066</v>
      </c>
      <c r="C107" t="str">
        <f t="shared" si="17"/>
        <v>3010106</v>
      </c>
      <c r="D107" t="str">
        <f t="shared" si="18"/>
        <v>03</v>
      </c>
      <c r="E107" t="str">
        <f t="shared" si="30"/>
        <v>661711</v>
      </c>
      <c r="F107" t="str">
        <f t="shared" si="31"/>
        <v>06/30/14</v>
      </c>
      <c r="G107" t="str">
        <f t="shared" si="33"/>
        <v>54115-A</v>
      </c>
      <c r="H107" s="4">
        <v>161.12</v>
      </c>
      <c r="I107" s="3"/>
      <c r="J107" t="str">
        <f t="shared" si="21"/>
        <v>ATRION NETWORKING CORPORATION</v>
      </c>
      <c r="K107" t="str">
        <f t="shared" si="32"/>
        <v>3381090</v>
      </c>
      <c r="L107" s="2" t="str">
        <f>"COMPU-LINK LCCLCC50D3 2-F JUMPER 10FT/3MTR 50/125 LC TO LC CERAMIC TIP 50 MICRON OM2/SX150 AQUA - PRODUCT NO.: 246795"</f>
        <v>COMPU-LINK LCCLCC50D3 2-F JUMPER 10FT/3MTR 50/125 LC TO LC CERAMIC TIP 50 MICRON OM2/SX150 AQUA - PRODUCT NO.: 246795</v>
      </c>
      <c r="M107" t="str">
        <f t="shared" si="34"/>
        <v>MFUSCO</v>
      </c>
    </row>
    <row r="108" spans="1:13" ht="30" x14ac:dyDescent="0.25">
      <c r="A108" t="str">
        <f t="shared" si="15"/>
        <v>10</v>
      </c>
      <c r="B108" t="str">
        <f t="shared" si="16"/>
        <v>066</v>
      </c>
      <c r="C108" t="str">
        <f t="shared" si="17"/>
        <v>3010106</v>
      </c>
      <c r="D108" t="str">
        <f t="shared" si="18"/>
        <v>03</v>
      </c>
      <c r="E108" t="str">
        <f t="shared" si="30"/>
        <v>661711</v>
      </c>
      <c r="F108" t="str">
        <f t="shared" si="31"/>
        <v>06/30/14</v>
      </c>
      <c r="G108" t="str">
        <f t="shared" si="33"/>
        <v>54115-A</v>
      </c>
      <c r="H108" s="4">
        <v>310.08</v>
      </c>
      <c r="I108" s="3"/>
      <c r="J108" t="str">
        <f t="shared" si="21"/>
        <v>ATRION NETWORKING CORPORATION</v>
      </c>
      <c r="K108" t="str">
        <f t="shared" si="32"/>
        <v>3381090</v>
      </c>
      <c r="L108" s="2" t="str">
        <f>"COMPU-LINK LCCLCCD1 2-F JUMPER 3.3FT/1MTR 62.5/125 LC TO LC CERAMIC TIP OM1 - PRODUCT NO.: 246811"</f>
        <v>COMPU-LINK LCCLCCD1 2-F JUMPER 3.3FT/1MTR 62.5/125 LC TO LC CERAMIC TIP OM1 - PRODUCT NO.: 246811</v>
      </c>
      <c r="M108" t="str">
        <f t="shared" si="34"/>
        <v>MFUSCO</v>
      </c>
    </row>
    <row r="109" spans="1:13" x14ac:dyDescent="0.25">
      <c r="A109" t="str">
        <f t="shared" si="15"/>
        <v>10</v>
      </c>
      <c r="B109" t="str">
        <f t="shared" si="16"/>
        <v>066</v>
      </c>
      <c r="C109" t="str">
        <f t="shared" si="17"/>
        <v>3010106</v>
      </c>
      <c r="D109" t="str">
        <f t="shared" si="18"/>
        <v>03</v>
      </c>
      <c r="E109" t="str">
        <f t="shared" si="30"/>
        <v>661711</v>
      </c>
      <c r="F109" t="str">
        <f t="shared" si="31"/>
        <v>06/30/14</v>
      </c>
      <c r="G109" t="str">
        <f t="shared" si="33"/>
        <v>54115-A</v>
      </c>
      <c r="H109" s="4">
        <v>6990.8</v>
      </c>
      <c r="I109" s="3"/>
      <c r="J109" t="str">
        <f t="shared" si="21"/>
        <v>ATRION NETWORKING CORPORATION</v>
      </c>
      <c r="K109" t="str">
        <f t="shared" si="32"/>
        <v>3381090</v>
      </c>
      <c r="L109" s="2" t="str">
        <f>"Catalyst 2960-X FlexStack Plus Stacking Module - Product No.: C2960X-STACK"</f>
        <v>Catalyst 2960-X FlexStack Plus Stacking Module - Product No.: C2960X-STACK</v>
      </c>
      <c r="M109" t="str">
        <f t="shared" si="34"/>
        <v>MFUSCO</v>
      </c>
    </row>
    <row r="110" spans="1:13" x14ac:dyDescent="0.25">
      <c r="A110" t="str">
        <f t="shared" si="15"/>
        <v>10</v>
      </c>
      <c r="B110" t="str">
        <f t="shared" si="16"/>
        <v>066</v>
      </c>
      <c r="C110" t="str">
        <f t="shared" si="17"/>
        <v>3010106</v>
      </c>
      <c r="D110" t="str">
        <f t="shared" si="18"/>
        <v>03</v>
      </c>
      <c r="E110" t="str">
        <f t="shared" si="30"/>
        <v>661711</v>
      </c>
      <c r="F110" t="str">
        <f t="shared" si="31"/>
        <v>06/30/14</v>
      </c>
      <c r="G110" t="str">
        <f t="shared" si="33"/>
        <v>54115-A</v>
      </c>
      <c r="H110" s="4">
        <v>13104</v>
      </c>
      <c r="I110" s="3"/>
      <c r="J110" t="str">
        <f t="shared" si="21"/>
        <v>ATRION NETWORKING CORPORATION</v>
      </c>
      <c r="K110" t="str">
        <f t="shared" si="32"/>
        <v>3381090</v>
      </c>
      <c r="L110" s="2" t="str">
        <f>"Catalyst 3750X 48 port Full PoE and 10G Module Bundle - Product No.: C3750X-48PF-10G"</f>
        <v>Catalyst 3750X 48 port Full PoE and 10G Module Bundle - Product No.: C3750X-48PF-10G</v>
      </c>
      <c r="M110" t="str">
        <f t="shared" si="34"/>
        <v>MFUSCO</v>
      </c>
    </row>
    <row r="111" spans="1:13" x14ac:dyDescent="0.25">
      <c r="A111" t="str">
        <f t="shared" si="15"/>
        <v>10</v>
      </c>
      <c r="B111" t="str">
        <f t="shared" si="16"/>
        <v>066</v>
      </c>
      <c r="C111" t="str">
        <f t="shared" si="17"/>
        <v>3010106</v>
      </c>
      <c r="D111" t="str">
        <f t="shared" si="18"/>
        <v>03</v>
      </c>
      <c r="E111" t="str">
        <f t="shared" si="30"/>
        <v>661711</v>
      </c>
      <c r="F111" t="str">
        <f t="shared" si="31"/>
        <v>06/30/14</v>
      </c>
      <c r="G111" t="str">
        <f t="shared" si="33"/>
        <v>54115-A</v>
      </c>
      <c r="H111" s="4">
        <v>0</v>
      </c>
      <c r="I111" s="3"/>
      <c r="J111" t="str">
        <f t="shared" si="21"/>
        <v>ATRION NETWORKING CORPORATION</v>
      </c>
      <c r="K111" t="str">
        <f t="shared" si="32"/>
        <v>3381090</v>
      </c>
      <c r="L111" s="2" t="str">
        <f>"Catalyst 3K-X 10G Network Module option PID -Product No.: C3KX-NM-10G"</f>
        <v>Catalyst 3K-X 10G Network Module option PID -Product No.: C3KX-NM-10G</v>
      </c>
      <c r="M111" t="str">
        <f t="shared" si="34"/>
        <v>MFUSCO</v>
      </c>
    </row>
    <row r="112" spans="1:13" x14ac:dyDescent="0.25">
      <c r="A112" t="str">
        <f t="shared" si="15"/>
        <v>10</v>
      </c>
      <c r="B112" t="str">
        <f t="shared" si="16"/>
        <v>066</v>
      </c>
      <c r="C112" t="str">
        <f t="shared" si="17"/>
        <v>3010106</v>
      </c>
      <c r="D112" t="str">
        <f t="shared" si="18"/>
        <v>03</v>
      </c>
      <c r="E112" t="str">
        <f t="shared" si="30"/>
        <v>661711</v>
      </c>
      <c r="F112" t="str">
        <f t="shared" si="31"/>
        <v>06/30/14</v>
      </c>
      <c r="G112" t="str">
        <f t="shared" si="33"/>
        <v>54115-A</v>
      </c>
      <c r="H112" s="4">
        <v>727.08</v>
      </c>
      <c r="I112" s="3"/>
      <c r="J112" t="str">
        <f t="shared" si="21"/>
        <v>ATRION NETWORKING CORPORATION</v>
      </c>
      <c r="K112" t="str">
        <f t="shared" si="32"/>
        <v>3381090</v>
      </c>
      <c r="L112" s="2" t="str">
        <f>"Rack PDU, Basic, 1U, 20A, 120V, (10)5-20; 5-20P - Product No.: AP9563"</f>
        <v>Rack PDU, Basic, 1U, 20A, 120V, (10)5-20; 5-20P - Product No.: AP9563</v>
      </c>
      <c r="M112" t="str">
        <f t="shared" si="34"/>
        <v>MFUSCO</v>
      </c>
    </row>
    <row r="113" spans="1:13" x14ac:dyDescent="0.25">
      <c r="A113" t="str">
        <f t="shared" si="15"/>
        <v>10</v>
      </c>
      <c r="B113" t="str">
        <f t="shared" si="16"/>
        <v>066</v>
      </c>
      <c r="C113" t="str">
        <f t="shared" si="17"/>
        <v>3010106</v>
      </c>
      <c r="D113" t="str">
        <f t="shared" si="18"/>
        <v>03</v>
      </c>
      <c r="E113" t="str">
        <f t="shared" si="30"/>
        <v>661711</v>
      </c>
      <c r="F113" t="str">
        <f t="shared" si="31"/>
        <v>06/30/14</v>
      </c>
      <c r="G113" t="str">
        <f t="shared" si="33"/>
        <v>54115-A</v>
      </c>
      <c r="H113" s="4">
        <v>3217.5</v>
      </c>
      <c r="I113" s="3"/>
      <c r="J113" t="str">
        <f t="shared" si="21"/>
        <v>ATRION NETWORKING CORPORATION</v>
      </c>
      <c r="K113" t="str">
        <f t="shared" si="32"/>
        <v>3381090</v>
      </c>
      <c r="L113" s="2" t="str">
        <f>"1000BASE-SX SFP transceiver module, MMF, 850nm, DOM - Product No.: GLC-SX-MMD="</f>
        <v>1000BASE-SX SFP transceiver module, MMF, 850nm, DOM - Product No.: GLC-SX-MMD=</v>
      </c>
      <c r="M113" t="str">
        <f t="shared" si="34"/>
        <v>MFUSCO</v>
      </c>
    </row>
    <row r="114" spans="1:13" x14ac:dyDescent="0.25">
      <c r="A114" t="str">
        <f t="shared" si="15"/>
        <v>10</v>
      </c>
      <c r="B114" t="str">
        <f t="shared" si="16"/>
        <v>066</v>
      </c>
      <c r="C114" t="str">
        <f t="shared" si="17"/>
        <v>3010106</v>
      </c>
      <c r="D114" t="str">
        <f t="shared" si="18"/>
        <v>03</v>
      </c>
      <c r="E114" t="str">
        <f t="shared" si="30"/>
        <v>661711</v>
      </c>
      <c r="F114" t="str">
        <f t="shared" si="31"/>
        <v>06/30/14</v>
      </c>
      <c r="G114" t="str">
        <f t="shared" si="33"/>
        <v>54115-A</v>
      </c>
      <c r="H114" s="4">
        <v>0</v>
      </c>
      <c r="I114" s="3"/>
      <c r="J114" t="str">
        <f t="shared" si="21"/>
        <v>ATRION NETWORKING CORPORATION</v>
      </c>
      <c r="K114" t="str">
        <f t="shared" si="32"/>
        <v>3381090</v>
      </c>
      <c r="L114" s="2" t="str">
        <f>"AC Power Cord for Catalyst 3K-X (North America) - Product No.: CAB-3KX-AC"</f>
        <v>AC Power Cord for Catalyst 3K-X (North America) - Product No.: CAB-3KX-AC</v>
      </c>
      <c r="M114" t="str">
        <f t="shared" si="34"/>
        <v>MFUSCO</v>
      </c>
    </row>
    <row r="115" spans="1:13" x14ac:dyDescent="0.25">
      <c r="A115" t="str">
        <f t="shared" si="15"/>
        <v>10</v>
      </c>
      <c r="B115" t="str">
        <f t="shared" si="16"/>
        <v>066</v>
      </c>
      <c r="C115" t="str">
        <f t="shared" si="17"/>
        <v>3010106</v>
      </c>
      <c r="D115" t="str">
        <f t="shared" si="18"/>
        <v>03</v>
      </c>
      <c r="E115" t="str">
        <f t="shared" si="30"/>
        <v>661711</v>
      </c>
      <c r="F115" t="str">
        <f t="shared" si="31"/>
        <v>06/30/14</v>
      </c>
      <c r="G115" t="str">
        <f t="shared" si="33"/>
        <v>54115-A</v>
      </c>
      <c r="H115" s="4">
        <v>0</v>
      </c>
      <c r="I115" s="3"/>
      <c r="J115" t="str">
        <f t="shared" si="21"/>
        <v>ATRION NETWORKING CORPORATION</v>
      </c>
      <c r="K115" t="str">
        <f t="shared" si="32"/>
        <v>3381090</v>
      </c>
      <c r="L115" s="2" t="str">
        <f>"Cisco StackWise 50CM Stacking Cable - Product No.: CAB-STACK-50CM"</f>
        <v>Cisco StackWise 50CM Stacking Cable - Product No.: CAB-STACK-50CM</v>
      </c>
      <c r="M115" t="str">
        <f t="shared" si="34"/>
        <v>MFUSCO</v>
      </c>
    </row>
    <row r="116" spans="1:13" x14ac:dyDescent="0.25">
      <c r="A116" t="str">
        <f t="shared" si="15"/>
        <v>10</v>
      </c>
      <c r="B116" t="str">
        <f t="shared" si="16"/>
        <v>066</v>
      </c>
      <c r="C116" t="str">
        <f t="shared" si="17"/>
        <v>3010106</v>
      </c>
      <c r="D116" t="str">
        <f t="shared" si="18"/>
        <v>03</v>
      </c>
      <c r="E116" t="str">
        <f t="shared" si="30"/>
        <v>661711</v>
      </c>
      <c r="F116" t="str">
        <f t="shared" si="31"/>
        <v>06/30/14</v>
      </c>
      <c r="G116" t="str">
        <f t="shared" si="33"/>
        <v>54115-A</v>
      </c>
      <c r="H116" s="4">
        <v>1755</v>
      </c>
      <c r="I116" s="3"/>
      <c r="J116" t="str">
        <f t="shared" si="21"/>
        <v>ATRION NETWORKING CORPORATION</v>
      </c>
      <c r="K116" t="str">
        <f t="shared" si="32"/>
        <v>3381090</v>
      </c>
      <c r="L116" s="2" t="str">
        <f>"Catalyst 3K-X 1100W AC Secondary Power Supply - Product No.: C3KX-PWR-1100WAC/2"</f>
        <v>Catalyst 3K-X 1100W AC Secondary Power Supply - Product No.: C3KX-PWR-1100WAC/2</v>
      </c>
      <c r="M116" t="str">
        <f t="shared" si="34"/>
        <v>MFUSCO</v>
      </c>
    </row>
    <row r="117" spans="1:13" x14ac:dyDescent="0.25">
      <c r="A117" t="str">
        <f t="shared" si="15"/>
        <v>10</v>
      </c>
      <c r="B117" t="str">
        <f t="shared" si="16"/>
        <v>066</v>
      </c>
      <c r="C117" t="str">
        <f t="shared" si="17"/>
        <v>3010106</v>
      </c>
      <c r="D117" t="str">
        <f t="shared" si="18"/>
        <v>03</v>
      </c>
      <c r="E117" t="str">
        <f t="shared" si="30"/>
        <v>661711</v>
      </c>
      <c r="F117" t="str">
        <f t="shared" si="31"/>
        <v>06/30/14</v>
      </c>
      <c r="G117" t="str">
        <f t="shared" si="33"/>
        <v>54115-A</v>
      </c>
      <c r="H117" s="4">
        <v>0</v>
      </c>
      <c r="I117" s="3"/>
      <c r="J117" t="str">
        <f t="shared" si="21"/>
        <v>ATRION NETWORKING CORPORATION</v>
      </c>
      <c r="K117" t="str">
        <f t="shared" si="32"/>
        <v>3381090</v>
      </c>
      <c r="L117" s="2" t="str">
        <f>"Cisco FlexStack 50cm Stacking Cable - Product No.: CAB-STK-E-0.5M"</f>
        <v>Cisco FlexStack 50cm Stacking Cable - Product No.: CAB-STK-E-0.5M</v>
      </c>
      <c r="M117" t="str">
        <f t="shared" si="34"/>
        <v>MFUSCO</v>
      </c>
    </row>
    <row r="118" spans="1:13" ht="30" x14ac:dyDescent="0.25">
      <c r="A118" t="str">
        <f t="shared" si="15"/>
        <v>10</v>
      </c>
      <c r="B118" t="str">
        <f t="shared" si="16"/>
        <v>066</v>
      </c>
      <c r="C118" t="str">
        <f t="shared" si="17"/>
        <v>3010106</v>
      </c>
      <c r="D118" t="str">
        <f t="shared" si="18"/>
        <v>03</v>
      </c>
      <c r="E118" t="str">
        <f t="shared" si="30"/>
        <v>661711</v>
      </c>
      <c r="F118" t="str">
        <f t="shared" si="31"/>
        <v>06/30/14</v>
      </c>
      <c r="G118" t="str">
        <f t="shared" si="33"/>
        <v>54115-A</v>
      </c>
      <c r="H118" s="4">
        <v>938.82</v>
      </c>
      <c r="I118" s="3"/>
      <c r="J118" t="str">
        <f t="shared" si="21"/>
        <v>ATRION NETWORKING CORPORATION</v>
      </c>
      <c r="K118" t="str">
        <f t="shared" si="32"/>
        <v>3381090</v>
      </c>
      <c r="L118" s="2" t="str">
        <f>"NetShelter WX 13U w/Threaded Hole Vertical Mounting Rail Vented Front Door Black - Product No.: AR100HD"</f>
        <v>NetShelter WX 13U w/Threaded Hole Vertical Mounting Rail Vented Front Door Black - Product No.: AR100HD</v>
      </c>
      <c r="M118" t="str">
        <f t="shared" si="34"/>
        <v>MFUSCO</v>
      </c>
    </row>
    <row r="119" spans="1:13" x14ac:dyDescent="0.25">
      <c r="A119" t="str">
        <f t="shared" si="15"/>
        <v>10</v>
      </c>
      <c r="B119" t="str">
        <f t="shared" si="16"/>
        <v>066</v>
      </c>
      <c r="C119" t="str">
        <f t="shared" si="17"/>
        <v>3010106</v>
      </c>
      <c r="D119" t="str">
        <f t="shared" si="18"/>
        <v>03</v>
      </c>
      <c r="E119" t="str">
        <f t="shared" si="30"/>
        <v>661711</v>
      </c>
      <c r="F119" t="str">
        <f t="shared" si="31"/>
        <v>06/30/14</v>
      </c>
      <c r="G119" t="str">
        <f t="shared" si="33"/>
        <v>54115-A</v>
      </c>
      <c r="H119" s="4">
        <v>0</v>
      </c>
      <c r="I119" s="3"/>
      <c r="J119" t="str">
        <f t="shared" si="21"/>
        <v>ATRION NETWORKING CORPORATION</v>
      </c>
      <c r="K119" t="str">
        <f t="shared" si="32"/>
        <v>3381090</v>
      </c>
      <c r="L119" s="2" t="str">
        <f>"Power Retainer Clip For Cisco 3560-C and 2960-C Compact Swit -Product No.: PWR-CLP"</f>
        <v>Power Retainer Clip For Cisco 3560-C and 2960-C Compact Swit -Product No.: PWR-CLP</v>
      </c>
      <c r="M119" t="str">
        <f t="shared" si="34"/>
        <v>MFUSCO</v>
      </c>
    </row>
    <row r="120" spans="1:13" x14ac:dyDescent="0.25">
      <c r="A120" t="str">
        <f t="shared" si="15"/>
        <v>10</v>
      </c>
      <c r="B120" t="str">
        <f t="shared" si="16"/>
        <v>066</v>
      </c>
      <c r="C120" t="str">
        <f t="shared" si="17"/>
        <v>3010106</v>
      </c>
      <c r="D120" t="str">
        <f t="shared" si="18"/>
        <v>03</v>
      </c>
      <c r="E120" t="str">
        <f t="shared" si="30"/>
        <v>661711</v>
      </c>
      <c r="F120" t="str">
        <f t="shared" si="31"/>
        <v>06/30/14</v>
      </c>
      <c r="G120" t="str">
        <f t="shared" si="33"/>
        <v>54115-A</v>
      </c>
      <c r="H120" s="4">
        <v>2364.7199999999998</v>
      </c>
      <c r="I120" s="3"/>
      <c r="J120" t="str">
        <f t="shared" si="21"/>
        <v>ATRION NETWORKING CORPORATION</v>
      </c>
      <c r="K120" t="str">
        <f t="shared" si="32"/>
        <v>3381090</v>
      </c>
      <c r="L120" s="2" t="str">
        <f>"UPS Network Management Card 2 with Environmental Monitoring - Product No.: AP9631"</f>
        <v>UPS Network Management Card 2 with Environmental Monitoring - Product No.: AP9631</v>
      </c>
      <c r="M120" t="str">
        <f t="shared" si="34"/>
        <v>MFUSCO</v>
      </c>
    </row>
    <row r="121" spans="1:13" x14ac:dyDescent="0.25">
      <c r="A121" t="str">
        <f t="shared" si="15"/>
        <v>10</v>
      </c>
      <c r="B121" t="str">
        <f t="shared" si="16"/>
        <v>066</v>
      </c>
      <c r="C121" t="str">
        <f t="shared" si="17"/>
        <v>3010106</v>
      </c>
      <c r="D121" t="str">
        <f t="shared" si="18"/>
        <v>03</v>
      </c>
      <c r="E121" t="str">
        <f t="shared" si="30"/>
        <v>661711</v>
      </c>
      <c r="F121" t="str">
        <f t="shared" si="31"/>
        <v>06/30/14</v>
      </c>
      <c r="G121" t="str">
        <f t="shared" si="33"/>
        <v>54115-A</v>
      </c>
      <c r="H121" s="4">
        <v>0</v>
      </c>
      <c r="I121" s="3"/>
      <c r="J121" t="str">
        <f t="shared" si="21"/>
        <v>ATRION NETWORKING CORPORATION</v>
      </c>
      <c r="K121" t="str">
        <f t="shared" si="32"/>
        <v>3381090</v>
      </c>
      <c r="L121" s="2" t="str">
        <f>"CAT 3750X IOS UNIVERSAL WITH WEB BASE DEV MGR - Product No.: S375XVK9T-15002SE"</f>
        <v>CAT 3750X IOS UNIVERSAL WITH WEB BASE DEV MGR - Product No.: S375XVK9T-15002SE</v>
      </c>
      <c r="M121" t="str">
        <f t="shared" si="34"/>
        <v>MFUSCO</v>
      </c>
    </row>
    <row r="122" spans="1:13" x14ac:dyDescent="0.25">
      <c r="A122" t="str">
        <f t="shared" si="15"/>
        <v>10</v>
      </c>
      <c r="B122" t="str">
        <f t="shared" si="16"/>
        <v>066</v>
      </c>
      <c r="C122" t="str">
        <f t="shared" si="17"/>
        <v>3010106</v>
      </c>
      <c r="D122" t="str">
        <f t="shared" si="18"/>
        <v>03</v>
      </c>
      <c r="E122" t="str">
        <f t="shared" si="30"/>
        <v>661711</v>
      </c>
      <c r="F122" t="str">
        <f t="shared" si="31"/>
        <v>06/30/14</v>
      </c>
      <c r="G122" t="str">
        <f t="shared" si="33"/>
        <v>54115-A</v>
      </c>
      <c r="H122" s="4">
        <v>0</v>
      </c>
      <c r="I122" s="3"/>
      <c r="J122" t="str">
        <f t="shared" si="21"/>
        <v>ATRION NETWORKING CORPORATION</v>
      </c>
      <c r="K122" t="str">
        <f t="shared" si="32"/>
        <v>3381090</v>
      </c>
      <c r="L122" s="2" t="str">
        <f>"AC Power cord, 16AWG - Product No.: CAB-16AWG-AC"</f>
        <v>AC Power cord, 16AWG - Product No.: CAB-16AWG-AC</v>
      </c>
      <c r="M122" t="str">
        <f t="shared" si="34"/>
        <v>MFUSCO</v>
      </c>
    </row>
    <row r="123" spans="1:13" x14ac:dyDescent="0.25">
      <c r="A123" t="str">
        <f t="shared" si="15"/>
        <v>10</v>
      </c>
      <c r="B123" t="str">
        <f t="shared" si="16"/>
        <v>066</v>
      </c>
      <c r="C123" t="str">
        <f t="shared" si="17"/>
        <v>3010106</v>
      </c>
      <c r="D123" t="str">
        <f t="shared" si="18"/>
        <v>03</v>
      </c>
      <c r="E123" t="str">
        <f t="shared" si="30"/>
        <v>661711</v>
      </c>
      <c r="F123" t="str">
        <f t="shared" si="31"/>
        <v>06/30/14</v>
      </c>
      <c r="G123" t="str">
        <f t="shared" si="33"/>
        <v>54115-A</v>
      </c>
      <c r="H123" s="4">
        <v>0</v>
      </c>
      <c r="I123" s="3"/>
      <c r="J123" t="str">
        <f t="shared" si="21"/>
        <v>ATRION NETWORKING CORPORATION</v>
      </c>
      <c r="K123" t="str">
        <f t="shared" si="32"/>
        <v>3381090</v>
      </c>
      <c r="L123" s="2" t="str">
        <f>"Catalyst 3K-X 1100W AC Power Supply -Product No.: C3KX-PWR-1100WAC"</f>
        <v>Catalyst 3K-X 1100W AC Power Supply -Product No.: C3KX-PWR-1100WAC</v>
      </c>
      <c r="M123" t="str">
        <f t="shared" si="34"/>
        <v>MFUSCO</v>
      </c>
    </row>
    <row r="124" spans="1:13" x14ac:dyDescent="0.25">
      <c r="A124" t="str">
        <f t="shared" si="15"/>
        <v>10</v>
      </c>
      <c r="B124" t="str">
        <f t="shared" si="16"/>
        <v>066</v>
      </c>
      <c r="C124" t="str">
        <f t="shared" si="17"/>
        <v>3010106</v>
      </c>
      <c r="D124" t="str">
        <f t="shared" si="18"/>
        <v>03</v>
      </c>
      <c r="E124" t="str">
        <f t="shared" si="30"/>
        <v>661711</v>
      </c>
      <c r="F124" t="str">
        <f t="shared" si="31"/>
        <v>06/30/14</v>
      </c>
      <c r="G124" t="str">
        <f t="shared" si="33"/>
        <v>54115-A</v>
      </c>
      <c r="H124" s="4">
        <v>0</v>
      </c>
      <c r="I124" s="3"/>
      <c r="J124" t="str">
        <f t="shared" si="21"/>
        <v>ATRION NETWORKING CORPORATION</v>
      </c>
      <c r="K124" t="str">
        <f t="shared" si="32"/>
        <v>3381090</v>
      </c>
      <c r="L124" s="2" t="str">
        <f>"Catalyst 3750X and 3850 Stack Power Cable 30 CM - Product No.: CAB-SPWR-30CM"</f>
        <v>Catalyst 3750X and 3850 Stack Power Cable 30 CM - Product No.: CAB-SPWR-30CM</v>
      </c>
      <c r="M124" t="str">
        <f t="shared" si="34"/>
        <v>MFUSCO</v>
      </c>
    </row>
    <row r="125" spans="1:13" x14ac:dyDescent="0.25">
      <c r="A125" t="str">
        <f t="shared" si="15"/>
        <v>10</v>
      </c>
      <c r="B125" t="str">
        <f t="shared" si="16"/>
        <v>066</v>
      </c>
      <c r="C125" t="str">
        <f t="shared" si="17"/>
        <v>3010106</v>
      </c>
      <c r="D125" t="str">
        <f t="shared" si="18"/>
        <v>03</v>
      </c>
      <c r="E125" t="str">
        <f t="shared" si="30"/>
        <v>661711</v>
      </c>
      <c r="F125" t="str">
        <f t="shared" si="31"/>
        <v>06/30/14</v>
      </c>
      <c r="G125" t="str">
        <f t="shared" si="33"/>
        <v>54115-A</v>
      </c>
      <c r="H125" s="4">
        <v>46770.8</v>
      </c>
      <c r="I125" s="3"/>
      <c r="J125" t="str">
        <f t="shared" si="21"/>
        <v>ATRION NETWORKING CORPORATION</v>
      </c>
      <c r="K125" t="str">
        <f t="shared" si="32"/>
        <v>3381090</v>
      </c>
      <c r="L125" s="2" t="str">
        <f>"Catalyst 2960-X 48 GigE PoE 740W, 2 x 10G SFP+, LAN Base - Product No.: WS-C2960X-48FPD-L"</f>
        <v>Catalyst 2960-X 48 GigE PoE 740W, 2 x 10G SFP+, LAN Base - Product No.: WS-C2960X-48FPD-L</v>
      </c>
      <c r="M125" t="str">
        <f t="shared" si="34"/>
        <v>MFUSCO</v>
      </c>
    </row>
    <row r="126" spans="1:13" x14ac:dyDescent="0.25">
      <c r="A126" t="str">
        <f t="shared" si="15"/>
        <v>10</v>
      </c>
      <c r="B126" t="str">
        <f t="shared" si="16"/>
        <v>066</v>
      </c>
      <c r="C126" t="str">
        <f t="shared" si="17"/>
        <v>3010106</v>
      </c>
      <c r="D126" t="str">
        <f t="shared" si="18"/>
        <v>03</v>
      </c>
      <c r="E126" t="str">
        <f t="shared" si="30"/>
        <v>661711</v>
      </c>
      <c r="F126" t="str">
        <f t="shared" si="31"/>
        <v>06/30/14</v>
      </c>
      <c r="G126" t="str">
        <f t="shared" si="33"/>
        <v>54115-A</v>
      </c>
      <c r="H126" s="4">
        <v>6967.08</v>
      </c>
      <c r="I126" s="3"/>
      <c r="J126" t="str">
        <f t="shared" si="21"/>
        <v>ATRION NETWORKING CORPORATION</v>
      </c>
      <c r="K126" t="str">
        <f t="shared" si="32"/>
        <v>3381090</v>
      </c>
      <c r="L126" s="2" t="str">
        <f>"APC SMART-UPS RT 2200VA 120V - Product No.: SURTA2200XL"</f>
        <v>APC SMART-UPS RT 2200VA 120V - Product No.: SURTA2200XL</v>
      </c>
      <c r="M126" t="str">
        <f t="shared" si="34"/>
        <v>MFUSCO</v>
      </c>
    </row>
    <row r="127" spans="1:13" x14ac:dyDescent="0.25">
      <c r="A127" t="str">
        <f t="shared" si="15"/>
        <v>10</v>
      </c>
      <c r="B127" t="str">
        <f t="shared" si="16"/>
        <v>066</v>
      </c>
      <c r="C127" t="str">
        <f t="shared" si="17"/>
        <v>3010106</v>
      </c>
      <c r="D127" t="str">
        <f t="shared" si="18"/>
        <v>03</v>
      </c>
      <c r="E127" t="str">
        <f t="shared" si="30"/>
        <v>661711</v>
      </c>
      <c r="F127" t="str">
        <f t="shared" ref="F127:F139" si="35">"06/30/15"</f>
        <v>06/30/15</v>
      </c>
      <c r="G127" t="str">
        <f t="shared" ref="G127:G139" si="36">"0067105-IN"</f>
        <v>0067105-IN</v>
      </c>
      <c r="H127" s="4">
        <v>699.08</v>
      </c>
      <c r="I127" s="3"/>
      <c r="J127" t="str">
        <f t="shared" si="21"/>
        <v>ATRION NETWORKING CORPORATION</v>
      </c>
      <c r="K127" t="str">
        <f t="shared" ref="K127:K139" si="37">"3423040"</f>
        <v>3423040</v>
      </c>
      <c r="L127" s="2" t="str">
        <f>"Catalyst 2960-X FlexStack Plus Stacking Module - Product No.: C2960X-STACK"</f>
        <v>Catalyst 2960-X FlexStack Plus Stacking Module - Product No.: C2960X-STACK</v>
      </c>
      <c r="M127" t="str">
        <f t="shared" si="34"/>
        <v>MFUSCO</v>
      </c>
    </row>
    <row r="128" spans="1:13" x14ac:dyDescent="0.25">
      <c r="A128" t="str">
        <f t="shared" si="15"/>
        <v>10</v>
      </c>
      <c r="B128" t="str">
        <f t="shared" si="16"/>
        <v>066</v>
      </c>
      <c r="C128" t="str">
        <f t="shared" si="17"/>
        <v>3010106</v>
      </c>
      <c r="D128" t="str">
        <f t="shared" si="18"/>
        <v>03</v>
      </c>
      <c r="E128" t="str">
        <f t="shared" si="30"/>
        <v>661711</v>
      </c>
      <c r="F128" t="str">
        <f t="shared" si="35"/>
        <v>06/30/15</v>
      </c>
      <c r="G128" t="str">
        <f t="shared" si="36"/>
        <v>0067105-IN</v>
      </c>
      <c r="H128" s="4">
        <v>1516.82</v>
      </c>
      <c r="I128" s="3"/>
      <c r="J128" t="str">
        <f t="shared" si="21"/>
        <v>ATRION NETWORKING CORPORATION</v>
      </c>
      <c r="K128" t="str">
        <f t="shared" si="37"/>
        <v>3423040</v>
      </c>
      <c r="L128" s="2" t="str">
        <f>"combined support total (co-termed to 6/30/15)"</f>
        <v>combined support total (co-termed to 6/30/15)</v>
      </c>
      <c r="M128" t="str">
        <f t="shared" ref="M128:M143" si="38">"SVALLANT"</f>
        <v>SVALLANT</v>
      </c>
    </row>
    <row r="129" spans="1:13" x14ac:dyDescent="0.25">
      <c r="A129" t="str">
        <f t="shared" si="15"/>
        <v>10</v>
      </c>
      <c r="B129" t="str">
        <f t="shared" si="16"/>
        <v>066</v>
      </c>
      <c r="C129" t="str">
        <f t="shared" si="17"/>
        <v>3010106</v>
      </c>
      <c r="D129" t="str">
        <f t="shared" si="18"/>
        <v>03</v>
      </c>
      <c r="E129" t="str">
        <f t="shared" si="30"/>
        <v>661711</v>
      </c>
      <c r="F129" t="str">
        <f t="shared" si="35"/>
        <v>06/30/15</v>
      </c>
      <c r="G129" t="str">
        <f t="shared" si="36"/>
        <v>0067105-IN</v>
      </c>
      <c r="H129" s="4">
        <v>0</v>
      </c>
      <c r="I129" s="3"/>
      <c r="J129" t="str">
        <f t="shared" si="21"/>
        <v>ATRION NETWORKING CORPORATION</v>
      </c>
      <c r="K129" t="str">
        <f t="shared" si="37"/>
        <v>3423040</v>
      </c>
      <c r="L129" s="2" t="str">
        <f>"Power Retainer Clip For Cisco 3560-C and 2960-C Compact Swit- Product No.: PWR-CLP"</f>
        <v>Power Retainer Clip For Cisco 3560-C and 2960-C Compact Swit- Product No.: PWR-CLP</v>
      </c>
      <c r="M129" t="str">
        <f t="shared" si="38"/>
        <v>SVALLANT</v>
      </c>
    </row>
    <row r="130" spans="1:13" x14ac:dyDescent="0.25">
      <c r="A130" t="str">
        <f t="shared" si="15"/>
        <v>10</v>
      </c>
      <c r="B130" t="str">
        <f t="shared" si="16"/>
        <v>066</v>
      </c>
      <c r="C130" t="str">
        <f t="shared" si="17"/>
        <v>3010106</v>
      </c>
      <c r="D130" t="str">
        <f t="shared" si="18"/>
        <v>03</v>
      </c>
      <c r="E130" t="str">
        <f t="shared" si="30"/>
        <v>661711</v>
      </c>
      <c r="F130" t="str">
        <f t="shared" si="35"/>
        <v>06/30/15</v>
      </c>
      <c r="G130" t="str">
        <f t="shared" si="36"/>
        <v>0067105-IN</v>
      </c>
      <c r="H130" s="4">
        <v>4677.08</v>
      </c>
      <c r="I130" s="3"/>
      <c r="J130" t="str">
        <f t="shared" si="21"/>
        <v>ATRION NETWORKING CORPORATION</v>
      </c>
      <c r="K130" t="str">
        <f t="shared" si="37"/>
        <v>3423040</v>
      </c>
      <c r="L130" s="2" t="str">
        <f>"Catalyst 2960-X 48 GigE PoE 740W, 2 x 10G SFP+, LAN Base - Product No.: WS-C2960X-48FPD-L"</f>
        <v>Catalyst 2960-X 48 GigE PoE 740W, 2 x 10G SFP+, LAN Base - Product No.: WS-C2960X-48FPD-L</v>
      </c>
      <c r="M130" t="str">
        <f t="shared" si="38"/>
        <v>SVALLANT</v>
      </c>
    </row>
    <row r="131" spans="1:13" x14ac:dyDescent="0.25">
      <c r="A131" t="str">
        <f t="shared" si="15"/>
        <v>10</v>
      </c>
      <c r="B131" t="str">
        <f t="shared" si="16"/>
        <v>066</v>
      </c>
      <c r="C131" t="str">
        <f t="shared" si="17"/>
        <v>3010106</v>
      </c>
      <c r="D131" t="str">
        <f t="shared" si="18"/>
        <v>03</v>
      </c>
      <c r="E131" t="str">
        <f t="shared" si="30"/>
        <v>661711</v>
      </c>
      <c r="F131" t="str">
        <f t="shared" si="35"/>
        <v>06/30/15</v>
      </c>
      <c r="G131" t="str">
        <f t="shared" si="36"/>
        <v>0067105-IN</v>
      </c>
      <c r="H131" s="4">
        <v>0</v>
      </c>
      <c r="I131" s="3"/>
      <c r="J131" t="str">
        <f t="shared" si="21"/>
        <v>ATRION NETWORKING CORPORATION</v>
      </c>
      <c r="K131" t="str">
        <f t="shared" si="37"/>
        <v>3423040</v>
      </c>
      <c r="L131" s="2" t="str">
        <f>"Power Retainer Clip For Cisco 3560-C and 2960-C Compact Swit - Product No.: PWR-CLP"</f>
        <v>Power Retainer Clip For Cisco 3560-C and 2960-C Compact Swit - Product No.: PWR-CLP</v>
      </c>
      <c r="M131" t="str">
        <f t="shared" si="38"/>
        <v>SVALLANT</v>
      </c>
    </row>
    <row r="132" spans="1:13" ht="30" x14ac:dyDescent="0.25">
      <c r="A132" t="str">
        <f t="shared" ref="A132:A145" si="39">"10"</f>
        <v>10</v>
      </c>
      <c r="B132" t="str">
        <f t="shared" ref="B132:B145" si="40">"066"</f>
        <v>066</v>
      </c>
      <c r="C132" t="str">
        <f t="shared" ref="C132:C145" si="41">"3010106"</f>
        <v>3010106</v>
      </c>
      <c r="D132" t="str">
        <f t="shared" ref="D132:D145" si="42">"03"</f>
        <v>03</v>
      </c>
      <c r="E132" t="str">
        <f t="shared" si="30"/>
        <v>661711</v>
      </c>
      <c r="F132" t="str">
        <f t="shared" si="35"/>
        <v>06/30/15</v>
      </c>
      <c r="G132" t="str">
        <f t="shared" si="36"/>
        <v>0067105-IN</v>
      </c>
      <c r="H132" s="4">
        <v>70.36</v>
      </c>
      <c r="I132" s="3"/>
      <c r="J132" t="str">
        <f t="shared" ref="J132:J144" si="43">"ATRION NETWORKING CORPORATION"</f>
        <v>ATRION NETWORKING CORPORATION</v>
      </c>
      <c r="K132" t="str">
        <f t="shared" si="37"/>
        <v>3423040</v>
      </c>
      <c r="L132" s="2" t="str">
        <f>"COMPU-LINK LCCSCCD3 2-F JUMPER 10FT/3MTR 62.5/125 LC TO SC CERAMIC TIP 0M1 - Product No.: 246818"</f>
        <v>COMPU-LINK LCCSCCD3 2-F JUMPER 10FT/3MTR 62.5/125 LC TO SC CERAMIC TIP 0M1 - Product No.: 246818</v>
      </c>
      <c r="M132" t="str">
        <f t="shared" si="38"/>
        <v>SVALLANT</v>
      </c>
    </row>
    <row r="133" spans="1:13" x14ac:dyDescent="0.25">
      <c r="A133" t="str">
        <f t="shared" si="39"/>
        <v>10</v>
      </c>
      <c r="B133" t="str">
        <f t="shared" si="40"/>
        <v>066</v>
      </c>
      <c r="C133" t="str">
        <f t="shared" si="41"/>
        <v>3010106</v>
      </c>
      <c r="D133" t="str">
        <f t="shared" si="42"/>
        <v>03</v>
      </c>
      <c r="E133" t="str">
        <f t="shared" si="30"/>
        <v>661711</v>
      </c>
      <c r="F133" t="str">
        <f t="shared" si="35"/>
        <v>06/30/15</v>
      </c>
      <c r="G133" t="str">
        <f t="shared" si="36"/>
        <v>0067105-IN</v>
      </c>
      <c r="H133" s="4">
        <v>0</v>
      </c>
      <c r="I133" s="3"/>
      <c r="J133" t="str">
        <f t="shared" si="43"/>
        <v>ATRION NETWORKING CORPORATION</v>
      </c>
      <c r="K133" t="str">
        <f t="shared" si="37"/>
        <v>3423040</v>
      </c>
      <c r="L133" s="2" t="str">
        <f>"AC Power Cord, 16AWG - Product No.: CAB-16AWG-AC"</f>
        <v>AC Power Cord, 16AWG - Product No.: CAB-16AWG-AC</v>
      </c>
      <c r="M133" t="str">
        <f t="shared" si="38"/>
        <v>SVALLANT</v>
      </c>
    </row>
    <row r="134" spans="1:13" x14ac:dyDescent="0.25">
      <c r="A134" t="str">
        <f t="shared" si="39"/>
        <v>10</v>
      </c>
      <c r="B134" t="str">
        <f t="shared" si="40"/>
        <v>066</v>
      </c>
      <c r="C134" t="str">
        <f t="shared" si="41"/>
        <v>3010106</v>
      </c>
      <c r="D134" t="str">
        <f t="shared" si="42"/>
        <v>03</v>
      </c>
      <c r="E134" t="str">
        <f t="shared" si="30"/>
        <v>661711</v>
      </c>
      <c r="F134" t="str">
        <f t="shared" si="35"/>
        <v>06/30/15</v>
      </c>
      <c r="G134" t="str">
        <f t="shared" si="36"/>
        <v>0067105-IN</v>
      </c>
      <c r="H134" s="4">
        <v>0</v>
      </c>
      <c r="I134" s="3"/>
      <c r="J134" t="str">
        <f t="shared" si="43"/>
        <v>ATRION NETWORKING CORPORATION</v>
      </c>
      <c r="K134" t="str">
        <f t="shared" si="37"/>
        <v>3423040</v>
      </c>
      <c r="L134" s="2" t="str">
        <f>"AC POWER CORD, 16AWG-Product No.: CAB-16AWG-AC"</f>
        <v>AC POWER CORD, 16AWG-Product No.: CAB-16AWG-AC</v>
      </c>
      <c r="M134" t="str">
        <f t="shared" si="38"/>
        <v>SVALLANT</v>
      </c>
    </row>
    <row r="135" spans="1:13" x14ac:dyDescent="0.25">
      <c r="A135" t="str">
        <f t="shared" si="39"/>
        <v>10</v>
      </c>
      <c r="B135" t="str">
        <f t="shared" si="40"/>
        <v>066</v>
      </c>
      <c r="C135" t="str">
        <f t="shared" si="41"/>
        <v>3010106</v>
      </c>
      <c r="D135" t="str">
        <f t="shared" si="42"/>
        <v>03</v>
      </c>
      <c r="E135" t="str">
        <f t="shared" si="30"/>
        <v>661711</v>
      </c>
      <c r="F135" t="str">
        <f t="shared" si="35"/>
        <v>06/30/15</v>
      </c>
      <c r="G135" t="str">
        <f t="shared" si="36"/>
        <v>0067105-IN</v>
      </c>
      <c r="H135" s="4">
        <v>585</v>
      </c>
      <c r="I135" s="3"/>
      <c r="J135" t="str">
        <f t="shared" si="43"/>
        <v>ATRION NETWORKING CORPORATION</v>
      </c>
      <c r="K135" t="str">
        <f t="shared" si="37"/>
        <v>3423040</v>
      </c>
      <c r="L135" s="2" t="str">
        <f>"1000BASE-SX SFP Transceiver module, MMF, 850nm, DOM - Product No.: GLC-SX-MMD="</f>
        <v>1000BASE-SX SFP Transceiver module, MMF, 850nm, DOM - Product No.: GLC-SX-MMD=</v>
      </c>
      <c r="M135" t="str">
        <f t="shared" si="38"/>
        <v>SVALLANT</v>
      </c>
    </row>
    <row r="136" spans="1:13" x14ac:dyDescent="0.25">
      <c r="A136" t="str">
        <f t="shared" si="39"/>
        <v>10</v>
      </c>
      <c r="B136" t="str">
        <f t="shared" si="40"/>
        <v>066</v>
      </c>
      <c r="C136" t="str">
        <f t="shared" si="41"/>
        <v>3010106</v>
      </c>
      <c r="D136" t="str">
        <f t="shared" si="42"/>
        <v>03</v>
      </c>
      <c r="E136" t="str">
        <f t="shared" si="30"/>
        <v>661711</v>
      </c>
      <c r="F136" t="str">
        <f t="shared" si="35"/>
        <v>06/30/15</v>
      </c>
      <c r="G136" t="str">
        <f t="shared" si="36"/>
        <v>0067105-IN</v>
      </c>
      <c r="H136" s="4">
        <v>0</v>
      </c>
      <c r="I136" s="3"/>
      <c r="J136" t="str">
        <f t="shared" si="43"/>
        <v>ATRION NETWORKING CORPORATION</v>
      </c>
      <c r="K136" t="str">
        <f t="shared" si="37"/>
        <v>3423040</v>
      </c>
      <c r="L136" s="2" t="str">
        <f>"Cisco FlexStack 50cm Stacking Cable - Product No.: CAB-STK-E-0.5M"</f>
        <v>Cisco FlexStack 50cm Stacking Cable - Product No.: CAB-STK-E-0.5M</v>
      </c>
      <c r="M136" t="str">
        <f t="shared" si="38"/>
        <v>SVALLANT</v>
      </c>
    </row>
    <row r="137" spans="1:13" x14ac:dyDescent="0.25">
      <c r="A137" t="str">
        <f t="shared" si="39"/>
        <v>10</v>
      </c>
      <c r="B137" t="str">
        <f t="shared" si="40"/>
        <v>066</v>
      </c>
      <c r="C137" t="str">
        <f t="shared" si="41"/>
        <v>3010106</v>
      </c>
      <c r="D137" t="str">
        <f t="shared" si="42"/>
        <v>03</v>
      </c>
      <c r="E137" t="str">
        <f t="shared" si="30"/>
        <v>661711</v>
      </c>
      <c r="F137" t="str">
        <f t="shared" si="35"/>
        <v>06/30/15</v>
      </c>
      <c r="G137" t="str">
        <f t="shared" si="36"/>
        <v>0067105-IN</v>
      </c>
      <c r="H137" s="4">
        <v>699.08</v>
      </c>
      <c r="I137" s="3"/>
      <c r="J137" t="str">
        <f t="shared" si="43"/>
        <v>ATRION NETWORKING CORPORATION</v>
      </c>
      <c r="K137" t="str">
        <f t="shared" si="37"/>
        <v>3423040</v>
      </c>
      <c r="L137" s="2" t="str">
        <f>"Catalyst 2960-X FlexStack Plux Stacking Module - Product No.: C2960X-Stack"</f>
        <v>Catalyst 2960-X FlexStack Plux Stacking Module - Product No.: C2960X-Stack</v>
      </c>
      <c r="M137" t="str">
        <f t="shared" si="38"/>
        <v>SVALLANT</v>
      </c>
    </row>
    <row r="138" spans="1:13" x14ac:dyDescent="0.25">
      <c r="A138" t="str">
        <f t="shared" si="39"/>
        <v>10</v>
      </c>
      <c r="B138" t="str">
        <f t="shared" si="40"/>
        <v>066</v>
      </c>
      <c r="C138" t="str">
        <f t="shared" si="41"/>
        <v>3010106</v>
      </c>
      <c r="D138" t="str">
        <f t="shared" si="42"/>
        <v>03</v>
      </c>
      <c r="E138" t="str">
        <f t="shared" si="30"/>
        <v>661711</v>
      </c>
      <c r="F138" t="str">
        <f t="shared" si="35"/>
        <v>06/30/15</v>
      </c>
      <c r="G138" t="str">
        <f t="shared" si="36"/>
        <v>0067105-IN</v>
      </c>
      <c r="H138" s="4">
        <v>2688.08</v>
      </c>
      <c r="I138" s="3"/>
      <c r="J138" t="str">
        <f t="shared" si="43"/>
        <v>ATRION NETWORKING CORPORATION</v>
      </c>
      <c r="K138" t="str">
        <f t="shared" si="37"/>
        <v>3423040</v>
      </c>
      <c r="L138" s="2" t="str">
        <f>"Catalyst 2960-X 24 GigE PoE 370W, 2 x 10G SFP+, LAN BASE Product No.: WS-C2960X-24PD-L"</f>
        <v>Catalyst 2960-X 24 GigE PoE 370W, 2 x 10G SFP+, LAN BASE Product No.: WS-C2960X-24PD-L</v>
      </c>
      <c r="M138" t="str">
        <f t="shared" si="38"/>
        <v>SVALLANT</v>
      </c>
    </row>
    <row r="139" spans="1:13" x14ac:dyDescent="0.25">
      <c r="A139" t="str">
        <f t="shared" si="39"/>
        <v>10</v>
      </c>
      <c r="B139" t="str">
        <f t="shared" si="40"/>
        <v>066</v>
      </c>
      <c r="C139" t="str">
        <f t="shared" si="41"/>
        <v>3010106</v>
      </c>
      <c r="D139" t="str">
        <f t="shared" si="42"/>
        <v>03</v>
      </c>
      <c r="E139" t="str">
        <f t="shared" si="30"/>
        <v>661711</v>
      </c>
      <c r="F139" t="str">
        <f t="shared" si="35"/>
        <v>06/30/15</v>
      </c>
      <c r="G139" t="str">
        <f t="shared" si="36"/>
        <v>0067105-IN</v>
      </c>
      <c r="H139" s="4">
        <v>0</v>
      </c>
      <c r="I139" s="3"/>
      <c r="J139" t="str">
        <f t="shared" si="43"/>
        <v>ATRION NETWORKING CORPORATION</v>
      </c>
      <c r="K139" t="str">
        <f t="shared" si="37"/>
        <v>3423040</v>
      </c>
      <c r="L139" s="2" t="str">
        <f>"Cisco FlexStack 50cm stacking cable - Product No.: CAB-STK-E-0.5M"</f>
        <v>Cisco FlexStack 50cm stacking cable - Product No.: CAB-STK-E-0.5M</v>
      </c>
      <c r="M139" t="str">
        <f t="shared" si="38"/>
        <v>SVALLANT</v>
      </c>
    </row>
    <row r="140" spans="1:13" x14ac:dyDescent="0.25">
      <c r="A140" t="str">
        <f t="shared" si="39"/>
        <v>10</v>
      </c>
      <c r="B140" t="str">
        <f t="shared" si="40"/>
        <v>066</v>
      </c>
      <c r="C140" t="str">
        <f t="shared" si="41"/>
        <v>3010106</v>
      </c>
      <c r="D140" t="str">
        <f t="shared" si="42"/>
        <v>03</v>
      </c>
      <c r="E140" t="str">
        <f t="shared" si="30"/>
        <v>661711</v>
      </c>
      <c r="F140" t="str">
        <f>"10/31/14"</f>
        <v>10/31/14</v>
      </c>
      <c r="G140" t="str">
        <f>"0067064-IN"</f>
        <v>0067064-IN</v>
      </c>
      <c r="H140" s="4">
        <v>9178.26</v>
      </c>
      <c r="I140" s="3"/>
      <c r="J140" t="str">
        <f t="shared" si="43"/>
        <v>ATRION NETWORKING CORPORATION</v>
      </c>
      <c r="K140" t="str">
        <f>"3396203"</f>
        <v>3396203</v>
      </c>
      <c r="L140" s="2" t="str">
        <f>"Manufacturer Direct Support -5/1/14-6/30/15"</f>
        <v>Manufacturer Direct Support -5/1/14-6/30/15</v>
      </c>
      <c r="M140" t="str">
        <f t="shared" si="38"/>
        <v>SVALLANT</v>
      </c>
    </row>
    <row r="141" spans="1:13" x14ac:dyDescent="0.25">
      <c r="A141" t="str">
        <f t="shared" si="39"/>
        <v>10</v>
      </c>
      <c r="B141" t="str">
        <f t="shared" si="40"/>
        <v>066</v>
      </c>
      <c r="C141" t="str">
        <f t="shared" si="41"/>
        <v>3010106</v>
      </c>
      <c r="D141" t="str">
        <f t="shared" si="42"/>
        <v>03</v>
      </c>
      <c r="E141" t="str">
        <f t="shared" si="30"/>
        <v>661711</v>
      </c>
      <c r="F141" t="str">
        <f>"10/31/14"</f>
        <v>10/31/14</v>
      </c>
      <c r="G141" t="str">
        <f>"0067064-IN"</f>
        <v>0067064-IN</v>
      </c>
      <c r="H141" s="4">
        <v>3080</v>
      </c>
      <c r="I141" s="3"/>
      <c r="J141" t="str">
        <f t="shared" si="43"/>
        <v>ATRION NETWORKING CORPORATION</v>
      </c>
      <c r="K141" t="str">
        <f>"3396203"</f>
        <v>3396203</v>
      </c>
      <c r="L141" s="2" t="str">
        <f>"Support Maxtime 5/1/14-6/30/15 - See Asset List for Details"</f>
        <v>Support Maxtime 5/1/14-6/30/15 - See Asset List for Details</v>
      </c>
      <c r="M141" t="str">
        <f t="shared" si="38"/>
        <v>SVALLANT</v>
      </c>
    </row>
    <row r="142" spans="1:13" x14ac:dyDescent="0.25">
      <c r="A142" t="str">
        <f t="shared" si="39"/>
        <v>10</v>
      </c>
      <c r="B142" t="str">
        <f t="shared" si="40"/>
        <v>066</v>
      </c>
      <c r="C142" t="str">
        <f t="shared" si="41"/>
        <v>3010106</v>
      </c>
      <c r="D142" t="str">
        <f t="shared" si="42"/>
        <v>03</v>
      </c>
      <c r="E142" t="str">
        <f t="shared" si="30"/>
        <v>661711</v>
      </c>
      <c r="F142" t="str">
        <f>"10/31/14"</f>
        <v>10/31/14</v>
      </c>
      <c r="G142" t="str">
        <f>"0067169-IN"</f>
        <v>0067169-IN</v>
      </c>
      <c r="H142" s="4">
        <v>21100</v>
      </c>
      <c r="I142" s="3"/>
      <c r="J142" t="str">
        <f t="shared" si="43"/>
        <v>ATRION NETWORKING CORPORATION</v>
      </c>
      <c r="K142" t="str">
        <f>"3396203"</f>
        <v>3396203</v>
      </c>
      <c r="L142" s="2" t="str">
        <f>"Professional Services - Engineering Services - Installation"</f>
        <v>Professional Services - Engineering Services - Installation</v>
      </c>
      <c r="M142" t="str">
        <f t="shared" si="38"/>
        <v>SVALLANT</v>
      </c>
    </row>
    <row r="143" spans="1:13" ht="30" x14ac:dyDescent="0.25">
      <c r="A143" t="str">
        <f t="shared" si="39"/>
        <v>10</v>
      </c>
      <c r="B143" t="str">
        <f t="shared" si="40"/>
        <v>066</v>
      </c>
      <c r="C143" t="str">
        <f t="shared" si="41"/>
        <v>3010106</v>
      </c>
      <c r="D143" t="str">
        <f t="shared" si="42"/>
        <v>03</v>
      </c>
      <c r="E143" t="str">
        <f t="shared" si="30"/>
        <v>661711</v>
      </c>
      <c r="F143" t="str">
        <f>"12/31/14"</f>
        <v>12/31/14</v>
      </c>
      <c r="G143" t="str">
        <f>"0069606-IN"</f>
        <v>0069606-IN</v>
      </c>
      <c r="H143" s="4">
        <v>877.2</v>
      </c>
      <c r="I143" s="3"/>
      <c r="J143" t="str">
        <f t="shared" si="43"/>
        <v>ATRION NETWORKING CORPORATION</v>
      </c>
      <c r="K143" t="str">
        <f>"3404470"</f>
        <v>3404470</v>
      </c>
      <c r="L143" s="2" t="str">
        <f>"COMPU-LINK LCCLCC50+D3 2-F JUMPER 10FT/3MTR 50/125 LC TO LC CERAMIC TIP 50 MICRON OM3/SX300 AQUA"</f>
        <v>COMPU-LINK LCCLCC50+D3 2-F JUMPER 10FT/3MTR 50/125 LC TO LC CERAMIC TIP 50 MICRON OM3/SX300 AQUA</v>
      </c>
      <c r="M143" t="str">
        <f t="shared" si="38"/>
        <v>SVALLANT</v>
      </c>
    </row>
    <row r="144" spans="1:13" x14ac:dyDescent="0.25">
      <c r="A144" t="str">
        <f t="shared" si="39"/>
        <v>10</v>
      </c>
      <c r="B144" t="str">
        <f t="shared" si="40"/>
        <v>066</v>
      </c>
      <c r="C144" t="str">
        <f t="shared" si="41"/>
        <v>3010106</v>
      </c>
      <c r="D144" t="str">
        <f t="shared" si="42"/>
        <v>03</v>
      </c>
      <c r="E144" t="str">
        <f t="shared" si="30"/>
        <v>661711</v>
      </c>
      <c r="F144" t="str">
        <f>"12/31/14"</f>
        <v>12/31/14</v>
      </c>
      <c r="G144" t="str">
        <f>"0069606-IN"</f>
        <v>0069606-IN</v>
      </c>
      <c r="H144" s="4">
        <v>11641.6</v>
      </c>
      <c r="I144" s="3"/>
      <c r="J144" t="str">
        <f t="shared" si="43"/>
        <v>ATRION NETWORKING CORPORATION</v>
      </c>
      <c r="K144" t="str">
        <f>"3404470"</f>
        <v>3404470</v>
      </c>
      <c r="L144" s="2" t="str">
        <f>"10GBASE-SR SFP MODULE"</f>
        <v>10GBASE-SR SFP MODULE</v>
      </c>
      <c r="M144" t="str">
        <f>"MRABITAI"</f>
        <v>MRABITAI</v>
      </c>
    </row>
    <row r="145" spans="1:13" x14ac:dyDescent="0.25">
      <c r="A145" t="str">
        <f t="shared" si="39"/>
        <v>10</v>
      </c>
      <c r="B145" t="str">
        <f t="shared" si="40"/>
        <v>066</v>
      </c>
      <c r="C145" t="str">
        <f t="shared" si="41"/>
        <v>3010106</v>
      </c>
      <c r="D145" t="str">
        <f t="shared" si="42"/>
        <v>03</v>
      </c>
      <c r="E145" t="str">
        <f>"641400"</f>
        <v>641400</v>
      </c>
      <c r="F145" t="str">
        <f>"06/30/16"</f>
        <v>06/30/16</v>
      </c>
      <c r="G145" t="str">
        <f>"J16066MEF0902"</f>
        <v>J16066MEF0902</v>
      </c>
      <c r="H145" s="3">
        <v>20001.3</v>
      </c>
      <c r="I145" s="3"/>
      <c r="J145" t="str">
        <f>""</f>
        <v/>
      </c>
      <c r="K145" t="str">
        <f>""</f>
        <v/>
      </c>
      <c r="L145" s="2" t="str">
        <f>"ADJUSTMENT OF ATRION MAINTENANCE"</f>
        <v>ADJUSTMENT OF ATRION MAINTENANCE</v>
      </c>
      <c r="M145" t="str">
        <f>"MRABITAI"</f>
        <v>MRABITAI</v>
      </c>
    </row>
    <row r="146" spans="1:13" x14ac:dyDescent="0.25">
      <c r="H146" s="6">
        <f>SUM(H68:H145)</f>
        <v>298786.69999999995</v>
      </c>
      <c r="I146" s="6">
        <f>SUM(H68:H145)</f>
        <v>298786.69999999995</v>
      </c>
      <c r="L146" s="2"/>
    </row>
    <row r="147" spans="1:13" x14ac:dyDescent="0.25">
      <c r="H147" s="3"/>
      <c r="I147" s="3"/>
      <c r="L147" s="2"/>
    </row>
    <row r="148" spans="1:13" ht="30" x14ac:dyDescent="0.25">
      <c r="A148" t="str">
        <f>"10"</f>
        <v>10</v>
      </c>
      <c r="B148" t="str">
        <f>"066"</f>
        <v>066</v>
      </c>
      <c r="C148" t="str">
        <f>"3010106"</f>
        <v>3010106</v>
      </c>
      <c r="D148" t="str">
        <f>"03"</f>
        <v>03</v>
      </c>
      <c r="E148" t="str">
        <f>"640100"</f>
        <v>640100</v>
      </c>
      <c r="F148" t="str">
        <f>"10/31/14"</f>
        <v>10/31/14</v>
      </c>
      <c r="G148" t="str">
        <f>"1243"</f>
        <v>1243</v>
      </c>
      <c r="H148" s="3">
        <v>125</v>
      </c>
      <c r="I148" s="3"/>
      <c r="J148" t="str">
        <f>"AUTHORITY FLOORING INC"</f>
        <v>AUTHORITY FLOORING INC</v>
      </c>
      <c r="K148" t="str">
        <f>"3398040"</f>
        <v>3398040</v>
      </c>
      <c r="L148" s="2" t="s">
        <v>28</v>
      </c>
    </row>
    <row r="149" spans="1:13" ht="45" x14ac:dyDescent="0.25">
      <c r="A149" t="str">
        <f>"10"</f>
        <v>10</v>
      </c>
      <c r="B149" t="str">
        <f>"066"</f>
        <v>066</v>
      </c>
      <c r="C149" t="str">
        <f>"3010106"</f>
        <v>3010106</v>
      </c>
      <c r="D149" t="str">
        <f>"03"</f>
        <v>03</v>
      </c>
      <c r="E149" t="str">
        <f>"640100"</f>
        <v>640100</v>
      </c>
      <c r="F149" t="str">
        <f>"10/31/14"</f>
        <v>10/31/14</v>
      </c>
      <c r="G149" t="str">
        <f>"1243"</f>
        <v>1243</v>
      </c>
      <c r="H149" s="3">
        <v>110</v>
      </c>
      <c r="I149" s="3"/>
      <c r="J149" t="str">
        <f>"AUTHORITY FLOORING INC"</f>
        <v>AUTHORITY FLOORING INC</v>
      </c>
      <c r="K149" t="str">
        <f>"3398040"</f>
        <v>3398040</v>
      </c>
      <c r="L149" s="2" t="s">
        <v>29</v>
      </c>
      <c r="M149" t="str">
        <f>"SVALLANT"</f>
        <v>SVALLANT</v>
      </c>
    </row>
    <row r="150" spans="1:13" ht="30" x14ac:dyDescent="0.25">
      <c r="A150" t="str">
        <f>"10"</f>
        <v>10</v>
      </c>
      <c r="B150" t="str">
        <f>"066"</f>
        <v>066</v>
      </c>
      <c r="C150" t="str">
        <f>"3010106"</f>
        <v>3010106</v>
      </c>
      <c r="D150" t="str">
        <f>"03"</f>
        <v>03</v>
      </c>
      <c r="E150" t="str">
        <f>"640100"</f>
        <v>640100</v>
      </c>
      <c r="F150" t="str">
        <f>"10/31/14"</f>
        <v>10/31/14</v>
      </c>
      <c r="G150" t="str">
        <f>"1243"</f>
        <v>1243</v>
      </c>
      <c r="H150" s="3">
        <v>718.8</v>
      </c>
      <c r="I150" s="3"/>
      <c r="J150" t="str">
        <f>"AUTHORITY FLOORING INC"</f>
        <v>AUTHORITY FLOORING INC</v>
      </c>
      <c r="K150" t="str">
        <f>"3398040"</f>
        <v>3398040</v>
      </c>
      <c r="L150" s="2" t="s">
        <v>30</v>
      </c>
      <c r="M150" t="str">
        <f>"SVALLANT"</f>
        <v>SVALLANT</v>
      </c>
    </row>
    <row r="151" spans="1:13" x14ac:dyDescent="0.25">
      <c r="H151" s="6">
        <f>SUM(H148:H150)</f>
        <v>953.8</v>
      </c>
      <c r="I151" s="6">
        <f>SUM(H148:H150)</f>
        <v>953.8</v>
      </c>
      <c r="L151" s="2"/>
      <c r="M151" t="str">
        <f>"SVALLANT"</f>
        <v>SVALLANT</v>
      </c>
    </row>
    <row r="152" spans="1:13" x14ac:dyDescent="0.25">
      <c r="H152" s="3"/>
      <c r="I152" s="3"/>
      <c r="L152" s="2"/>
    </row>
    <row r="153" spans="1:13" ht="30" x14ac:dyDescent="0.25">
      <c r="A153" t="str">
        <f>"10"</f>
        <v>10</v>
      </c>
      <c r="B153" t="str">
        <f>"066"</f>
        <v>066</v>
      </c>
      <c r="C153" t="str">
        <f>"3010106"</f>
        <v>3010106</v>
      </c>
      <c r="D153" t="str">
        <f>"03"</f>
        <v>03</v>
      </c>
      <c r="E153" t="str">
        <f>"661302"</f>
        <v>661302</v>
      </c>
      <c r="F153" t="str">
        <f>"06/30/17"</f>
        <v>06/30/17</v>
      </c>
      <c r="G153" t="str">
        <f>"APPLICATION #1"</f>
        <v>APPLICATION #1</v>
      </c>
      <c r="H153" s="6">
        <v>810006.51</v>
      </c>
      <c r="I153" s="6">
        <f>SUM(H153)</f>
        <v>810006.51</v>
      </c>
      <c r="J153" t="str">
        <f>"BACON CONSTRUCTION COMPANY INC."</f>
        <v>BACON CONSTRUCTION COMPANY INC.</v>
      </c>
      <c r="K153" t="str">
        <f>"3518732"</f>
        <v>3518732</v>
      </c>
      <c r="L153" s="2" t="str">
        <f>"BUILDING OF CUSTOMER SERVICE CENTER AT PASTORE COMPLEX IN ACCORDANCE TO PLANS AND SPECIFICATION OF PUBLIC SOLICIATION 7551102PH2"</f>
        <v>BUILDING OF CUSTOMER SERVICE CENTER AT PASTORE COMPLEX IN ACCORDANCE TO PLANS AND SPECIFICATION OF PUBLIC SOLICIATION 7551102PH2</v>
      </c>
    </row>
    <row r="154" spans="1:13" x14ac:dyDescent="0.25">
      <c r="H154" s="6"/>
      <c r="I154" s="6"/>
      <c r="L154" s="2"/>
      <c r="M154" t="str">
        <f>"MFUSCO"</f>
        <v>MFUSCO</v>
      </c>
    </row>
    <row r="155" spans="1:13" ht="30" x14ac:dyDescent="0.25">
      <c r="A155" t="str">
        <f t="shared" ref="A155:A177" si="44">"10"</f>
        <v>10</v>
      </c>
      <c r="B155" t="str">
        <f t="shared" ref="B155:B177" si="45">"066"</f>
        <v>066</v>
      </c>
      <c r="C155" t="str">
        <f t="shared" ref="C155:C177" si="46">"3010106"</f>
        <v>3010106</v>
      </c>
      <c r="D155" t="str">
        <f t="shared" ref="D155:D177" si="47">"03"</f>
        <v>03</v>
      </c>
      <c r="E155" t="str">
        <f t="shared" ref="E155:E177" si="48">"640100"</f>
        <v>640100</v>
      </c>
      <c r="F155" t="str">
        <f>"01/31/15"</f>
        <v>01/31/15</v>
      </c>
      <c r="G155" t="str">
        <f>"8808"</f>
        <v>8808</v>
      </c>
      <c r="H155" s="3">
        <v>31.25</v>
      </c>
      <c r="I155" s="3"/>
      <c r="J155" t="str">
        <f t="shared" ref="J155:J162" si="49">"BARLOWS PLUMBING &amp; HEATING SYSTEMS"</f>
        <v>BARLOWS PLUMBING &amp; HEATING SYSTEMS</v>
      </c>
      <c r="K155" t="str">
        <f t="shared" ref="K155:K162" si="50">"3259179"</f>
        <v>3259179</v>
      </c>
      <c r="L155" s="2" t="str">
        <f>"MPA-40 1/1/12-3/31/15  REGULAR HOURLY RATE FOR A HELPER ON THE JOB, IF AUTHORIZED BY THE AGENCY"</f>
        <v>MPA-40 1/1/12-3/31/15  REGULAR HOURLY RATE FOR A HELPER ON THE JOB, IF AUTHORIZED BY THE AGENCY</v>
      </c>
    </row>
    <row r="156" spans="1:13" ht="45" x14ac:dyDescent="0.25">
      <c r="A156" t="str">
        <f t="shared" si="44"/>
        <v>10</v>
      </c>
      <c r="B156" t="str">
        <f t="shared" si="45"/>
        <v>066</v>
      </c>
      <c r="C156" t="str">
        <f t="shared" si="46"/>
        <v>3010106</v>
      </c>
      <c r="D156" t="str">
        <f t="shared" si="47"/>
        <v>03</v>
      </c>
      <c r="E156" t="str">
        <f t="shared" si="48"/>
        <v>640100</v>
      </c>
      <c r="F156" t="str">
        <f>"09/30/14"</f>
        <v>09/30/14</v>
      </c>
      <c r="G156" t="str">
        <f>"8634"</f>
        <v>8634</v>
      </c>
      <c r="H156" s="3">
        <v>3.19</v>
      </c>
      <c r="I156" s="3"/>
      <c r="J156" t="str">
        <f t="shared" si="49"/>
        <v>BARLOWS PLUMBING &amp; HEATING SYSTEMS</v>
      </c>
      <c r="K156" t="str">
        <f t="shared" si="50"/>
        <v>3259179</v>
      </c>
      <c r="L156" s="2" t="str">
        <f>"MPA-40 1/1/12-4/30/14  MATERIALS ARE TO BE PROVIDED AT COST PLUS THE FOLLOWING (APPLICABLE) FEE FOR OVERHEAD, PICKUP AND DELIVERY.  NO ADDITIONAL CHARGES WILL BE ACCEPTABLE."</f>
        <v>MPA-40 1/1/12-4/30/14  MATERIALS ARE TO BE PROVIDED AT COST PLUS THE FOLLOWING (APPLICABLE) FEE FOR OVERHEAD, PICKUP AND DELIVERY.  NO ADDITIONAL CHARGES WILL BE ACCEPTABLE.</v>
      </c>
      <c r="M156" t="str">
        <f>"SVALLANT"</f>
        <v>SVALLANT</v>
      </c>
    </row>
    <row r="157" spans="1:13" ht="30" x14ac:dyDescent="0.25">
      <c r="A157" t="str">
        <f t="shared" si="44"/>
        <v>10</v>
      </c>
      <c r="B157" t="str">
        <f t="shared" si="45"/>
        <v>066</v>
      </c>
      <c r="C157" t="str">
        <f t="shared" si="46"/>
        <v>3010106</v>
      </c>
      <c r="D157" t="str">
        <f t="shared" si="47"/>
        <v>03</v>
      </c>
      <c r="E157" t="str">
        <f t="shared" si="48"/>
        <v>640100</v>
      </c>
      <c r="F157" t="str">
        <f>"09/30/14"</f>
        <v>09/30/14</v>
      </c>
      <c r="G157" t="str">
        <f>"8634"</f>
        <v>8634</v>
      </c>
      <c r="H157" s="4">
        <v>218.75</v>
      </c>
      <c r="I157" s="3"/>
      <c r="J157" t="str">
        <f t="shared" si="49"/>
        <v>BARLOWS PLUMBING &amp; HEATING SYSTEMS</v>
      </c>
      <c r="K157" t="str">
        <f t="shared" si="50"/>
        <v>3259179</v>
      </c>
      <c r="L157" s="2" t="str">
        <f>"MPA-40 1/1/12-9/30/14  REGULAR HOURLY RATE FOR A HELPER ON THE JOB, IF AUTHORIZED BY THE AGENCY"</f>
        <v>MPA-40 1/1/12-9/30/14  REGULAR HOURLY RATE FOR A HELPER ON THE JOB, IF AUTHORIZED BY THE AGENCY</v>
      </c>
      <c r="M157" t="str">
        <f t="shared" ref="M157:M177" si="51">"MARYLIZZ"</f>
        <v>MARYLIZZ</v>
      </c>
    </row>
    <row r="158" spans="1:13" ht="45" x14ac:dyDescent="0.25">
      <c r="A158" t="str">
        <f t="shared" si="44"/>
        <v>10</v>
      </c>
      <c r="B158" t="str">
        <f t="shared" si="45"/>
        <v>066</v>
      </c>
      <c r="C158" t="str">
        <f t="shared" si="46"/>
        <v>3010106</v>
      </c>
      <c r="D158" t="str">
        <f t="shared" si="47"/>
        <v>03</v>
      </c>
      <c r="E158" t="str">
        <f t="shared" si="48"/>
        <v>640100</v>
      </c>
      <c r="F158" t="str">
        <f>"09/30/14"</f>
        <v>09/30/14</v>
      </c>
      <c r="G158" t="str">
        <f>"8675"</f>
        <v>8675</v>
      </c>
      <c r="H158" s="4">
        <v>8.56</v>
      </c>
      <c r="I158" s="3"/>
      <c r="J158" t="str">
        <f t="shared" si="49"/>
        <v>BARLOWS PLUMBING &amp; HEATING SYSTEMS</v>
      </c>
      <c r="K158" t="str">
        <f t="shared" si="50"/>
        <v>3259179</v>
      </c>
      <c r="L158" s="2" t="str">
        <f>"MPA-40 1/1/12-4/30/14  MATERIALS ARE TO BE PROVIDED AT COST PLUS THE FOLLOWING (APPLICABLE) FEE FOR OVERHEAD, PICKUP AND DELIVERY.  NO ADDITIONAL CHARGES WILL BE ACCEPTABLE."</f>
        <v>MPA-40 1/1/12-4/30/14  MATERIALS ARE TO BE PROVIDED AT COST PLUS THE FOLLOWING (APPLICABLE) FEE FOR OVERHEAD, PICKUP AND DELIVERY.  NO ADDITIONAL CHARGES WILL BE ACCEPTABLE.</v>
      </c>
      <c r="M158" t="str">
        <f t="shared" si="51"/>
        <v>MARYLIZZ</v>
      </c>
    </row>
    <row r="159" spans="1:13" ht="30" x14ac:dyDescent="0.25">
      <c r="A159" t="str">
        <f t="shared" si="44"/>
        <v>10</v>
      </c>
      <c r="B159" t="str">
        <f t="shared" si="45"/>
        <v>066</v>
      </c>
      <c r="C159" t="str">
        <f t="shared" si="46"/>
        <v>3010106</v>
      </c>
      <c r="D159" t="str">
        <f t="shared" si="47"/>
        <v>03</v>
      </c>
      <c r="E159" t="str">
        <f t="shared" si="48"/>
        <v>640100</v>
      </c>
      <c r="F159" t="str">
        <f>"09/30/14"</f>
        <v>09/30/14</v>
      </c>
      <c r="G159" t="str">
        <f>"8675"</f>
        <v>8675</v>
      </c>
      <c r="H159" s="4">
        <v>187.5</v>
      </c>
      <c r="I159" s="3"/>
      <c r="J159" t="str">
        <f t="shared" si="49"/>
        <v>BARLOWS PLUMBING &amp; HEATING SYSTEMS</v>
      </c>
      <c r="K159" t="str">
        <f t="shared" si="50"/>
        <v>3259179</v>
      </c>
      <c r="L159" s="2" t="str">
        <f>"MPA-40 1/1/12-9/30/14  REGULAR HOURLY RATE FOR A HELPER ON THE JOB, IF AUTHORIZED BY THE AGENCY"</f>
        <v>MPA-40 1/1/12-9/30/14  REGULAR HOURLY RATE FOR A HELPER ON THE JOB, IF AUTHORIZED BY THE AGENCY</v>
      </c>
      <c r="M159" t="str">
        <f t="shared" si="51"/>
        <v>MARYLIZZ</v>
      </c>
    </row>
    <row r="160" spans="1:13" ht="30" x14ac:dyDescent="0.25">
      <c r="A160" t="str">
        <f t="shared" si="44"/>
        <v>10</v>
      </c>
      <c r="B160" t="str">
        <f t="shared" si="45"/>
        <v>066</v>
      </c>
      <c r="C160" t="str">
        <f t="shared" si="46"/>
        <v>3010106</v>
      </c>
      <c r="D160" t="str">
        <f t="shared" si="47"/>
        <v>03</v>
      </c>
      <c r="E160" t="str">
        <f t="shared" si="48"/>
        <v>640100</v>
      </c>
      <c r="F160" t="str">
        <f>"09/30/14"</f>
        <v>09/30/14</v>
      </c>
      <c r="G160" t="str">
        <f>"8692"</f>
        <v>8692</v>
      </c>
      <c r="H160" s="4">
        <v>187.5</v>
      </c>
      <c r="I160" s="3"/>
      <c r="J160" t="str">
        <f t="shared" si="49"/>
        <v>BARLOWS PLUMBING &amp; HEATING SYSTEMS</v>
      </c>
      <c r="K160" t="str">
        <f t="shared" si="50"/>
        <v>3259179</v>
      </c>
      <c r="L160" s="2" t="str">
        <f>"MPA-40 1/1/12-9/30/14  REGULAR HOURLY RATE FOR A HELPER ON THE JOB, IF AUTHORIZED BY THE AGENCY"</f>
        <v>MPA-40 1/1/12-9/30/14  REGULAR HOURLY RATE FOR A HELPER ON THE JOB, IF AUTHORIZED BY THE AGENCY</v>
      </c>
      <c r="M160" t="str">
        <f t="shared" si="51"/>
        <v>MARYLIZZ</v>
      </c>
    </row>
    <row r="161" spans="1:13" ht="45" x14ac:dyDescent="0.25">
      <c r="A161" t="str">
        <f t="shared" si="44"/>
        <v>10</v>
      </c>
      <c r="B161" t="str">
        <f t="shared" si="45"/>
        <v>066</v>
      </c>
      <c r="C161" t="str">
        <f t="shared" si="46"/>
        <v>3010106</v>
      </c>
      <c r="D161" t="str">
        <f t="shared" si="47"/>
        <v>03</v>
      </c>
      <c r="E161" t="str">
        <f t="shared" si="48"/>
        <v>640100</v>
      </c>
      <c r="F161" t="str">
        <f>"11/30/14"</f>
        <v>11/30/14</v>
      </c>
      <c r="G161" t="str">
        <f>"8781"</f>
        <v>8781</v>
      </c>
      <c r="H161" s="4">
        <v>256.95999999999998</v>
      </c>
      <c r="I161" s="3"/>
      <c r="J161" t="str">
        <f t="shared" si="49"/>
        <v>BARLOWS PLUMBING &amp; HEATING SYSTEMS</v>
      </c>
      <c r="K161" t="str">
        <f t="shared" si="50"/>
        <v>3259179</v>
      </c>
      <c r="L161" s="2" t="str">
        <f>"MPA-40 1/1/12-7/31/14  MATERIALS ARE TO BE PROVIDED AT COST PLUS THE FOLLOWING (APPLICABLE) FEE FOR OVERHEAD, PICKUP AND DELIVERY.  NO ADDITIONAL CHARGES WILL BE ACCEPTABLE."</f>
        <v>MPA-40 1/1/12-7/31/14  MATERIALS ARE TO BE PROVIDED AT COST PLUS THE FOLLOWING (APPLICABLE) FEE FOR OVERHEAD, PICKUP AND DELIVERY.  NO ADDITIONAL CHARGES WILL BE ACCEPTABLE.</v>
      </c>
      <c r="M161" t="str">
        <f t="shared" si="51"/>
        <v>MARYLIZZ</v>
      </c>
    </row>
    <row r="162" spans="1:13" x14ac:dyDescent="0.25">
      <c r="A162" t="str">
        <f t="shared" si="44"/>
        <v>10</v>
      </c>
      <c r="B162" t="str">
        <f t="shared" si="45"/>
        <v>066</v>
      </c>
      <c r="C162" t="str">
        <f t="shared" si="46"/>
        <v>3010106</v>
      </c>
      <c r="D162" t="str">
        <f t="shared" si="47"/>
        <v>03</v>
      </c>
      <c r="E162" t="str">
        <f t="shared" si="48"/>
        <v>640100</v>
      </c>
      <c r="F162" t="str">
        <f>"11/30/14"</f>
        <v>11/30/14</v>
      </c>
      <c r="G162" t="str">
        <f>"8781"</f>
        <v>8781</v>
      </c>
      <c r="H162" s="4">
        <v>562.5</v>
      </c>
      <c r="I162" s="3"/>
      <c r="J162" t="str">
        <f t="shared" si="49"/>
        <v>BARLOWS PLUMBING &amp; HEATING SYSTEMS</v>
      </c>
      <c r="K162" t="str">
        <f t="shared" si="50"/>
        <v>3259179</v>
      </c>
      <c r="L162" s="2" t="str">
        <f>"MPA-40 1/1/12-12/31/14  REGULAR HOURLY RATE FOR PLUMBER ON THE JOB"</f>
        <v>MPA-40 1/1/12-12/31/14  REGULAR HOURLY RATE FOR PLUMBER ON THE JOB</v>
      </c>
      <c r="M162" t="str">
        <f t="shared" si="51"/>
        <v>MARYLIZZ</v>
      </c>
    </row>
    <row r="163" spans="1:13" x14ac:dyDescent="0.25">
      <c r="A163" t="str">
        <f t="shared" si="44"/>
        <v>10</v>
      </c>
      <c r="B163" t="str">
        <f t="shared" si="45"/>
        <v>066</v>
      </c>
      <c r="C163" t="str">
        <f t="shared" si="46"/>
        <v>3010106</v>
      </c>
      <c r="D163" t="str">
        <f t="shared" si="47"/>
        <v>03</v>
      </c>
      <c r="E163" t="str">
        <f t="shared" si="48"/>
        <v>640100</v>
      </c>
      <c r="F163" t="str">
        <f>"02/28/17"</f>
        <v>02/28/17</v>
      </c>
      <c r="G163" t="str">
        <f>"9839"</f>
        <v>9839</v>
      </c>
      <c r="H163" s="4">
        <v>196.74</v>
      </c>
      <c r="I163" s="3"/>
      <c r="J163" t="str">
        <f t="shared" ref="J163:J177" si="52">"BARLOW'S PLUMBING &amp; WELL SYS INC"</f>
        <v>BARLOW'S PLUMBING &amp; WELL SYS INC</v>
      </c>
      <c r="K163" t="str">
        <f>"3493820"</f>
        <v>3493820</v>
      </c>
      <c r="L163" s="2" t="str">
        <f>"MPA-40   FY17 - FY18  REGULAR HOURLY RATE FOR PLUMBER ON THE JOB."</f>
        <v>MPA-40   FY17 - FY18  REGULAR HOURLY RATE FOR PLUMBER ON THE JOB.</v>
      </c>
      <c r="M163" t="str">
        <f t="shared" si="51"/>
        <v>MARYLIZZ</v>
      </c>
    </row>
    <row r="164" spans="1:13" ht="45" x14ac:dyDescent="0.25">
      <c r="A164" t="str">
        <f t="shared" si="44"/>
        <v>10</v>
      </c>
      <c r="B164" t="str">
        <f t="shared" si="45"/>
        <v>066</v>
      </c>
      <c r="C164" t="str">
        <f t="shared" si="46"/>
        <v>3010106</v>
      </c>
      <c r="D164" t="str">
        <f t="shared" si="47"/>
        <v>03</v>
      </c>
      <c r="E164" t="str">
        <f t="shared" si="48"/>
        <v>640100</v>
      </c>
      <c r="F164" t="str">
        <f>"02/28/17"</f>
        <v>02/28/17</v>
      </c>
      <c r="G164" t="str">
        <f>"9839"</f>
        <v>9839</v>
      </c>
      <c r="H164" s="4">
        <v>4.42</v>
      </c>
      <c r="I164" s="3"/>
      <c r="J164" t="str">
        <f t="shared" si="52"/>
        <v>BARLOW'S PLUMBING &amp; WELL SYS INC</v>
      </c>
      <c r="K164" t="str">
        <f>"3493820"</f>
        <v>3493820</v>
      </c>
      <c r="L164" s="2" t="str">
        <f>"MPA-40   FY17 - FY18  MATERIALS ARE TO BE PROVIDED AT COST PLUS THE FOLLOWING (APPLICABLE) FEE FOR OVERHEAD, PICKUP, AND DELIVERY.  NO ADDITIONAL CHARGES WILL BE ACCEPTABLE."</f>
        <v>MPA-40   FY17 - FY18  MATERIALS ARE TO BE PROVIDED AT COST PLUS THE FOLLOWING (APPLICABLE) FEE FOR OVERHEAD, PICKUP, AND DELIVERY.  NO ADDITIONAL CHARGES WILL BE ACCEPTABLE.</v>
      </c>
      <c r="M164" t="str">
        <f t="shared" si="51"/>
        <v>MARYLIZZ</v>
      </c>
    </row>
    <row r="165" spans="1:13" ht="45" x14ac:dyDescent="0.25">
      <c r="A165" t="str">
        <f t="shared" si="44"/>
        <v>10</v>
      </c>
      <c r="B165" t="str">
        <f t="shared" si="45"/>
        <v>066</v>
      </c>
      <c r="C165" t="str">
        <f t="shared" si="46"/>
        <v>3010106</v>
      </c>
      <c r="D165" t="str">
        <f t="shared" si="47"/>
        <v>03</v>
      </c>
      <c r="E165" t="str">
        <f t="shared" si="48"/>
        <v>640100</v>
      </c>
      <c r="F165" t="str">
        <f>"03/31/16"</f>
        <v>03/31/16</v>
      </c>
      <c r="G165" t="str">
        <f>"9379"</f>
        <v>9379</v>
      </c>
      <c r="H165" s="4">
        <v>48.62</v>
      </c>
      <c r="I165" s="3"/>
      <c r="J165" t="str">
        <f t="shared" si="52"/>
        <v>BARLOW'S PLUMBING &amp; WELL SYS INC</v>
      </c>
      <c r="K165" t="str">
        <f>"3447308"</f>
        <v>3447308</v>
      </c>
      <c r="L165" s="2" t="str">
        <f>"MPA-40  1/1/16-11/30/16  MATERIALS ARE TO BE PROVIDED AT COST PLUS THE FOLLOWING (APPLICABLE) FEE FOR OVERHEAD, PICKUP, AND DELIVERY.  NO ADDITIONAL CHARGES WILL BE ACCEPTABLE."</f>
        <v>MPA-40  1/1/16-11/30/16  MATERIALS ARE TO BE PROVIDED AT COST PLUS THE FOLLOWING (APPLICABLE) FEE FOR OVERHEAD, PICKUP, AND DELIVERY.  NO ADDITIONAL CHARGES WILL BE ACCEPTABLE.</v>
      </c>
      <c r="M165" t="str">
        <f t="shared" si="51"/>
        <v>MARYLIZZ</v>
      </c>
    </row>
    <row r="166" spans="1:13" x14ac:dyDescent="0.25">
      <c r="A166" t="str">
        <f t="shared" si="44"/>
        <v>10</v>
      </c>
      <c r="B166" t="str">
        <f t="shared" si="45"/>
        <v>066</v>
      </c>
      <c r="C166" t="str">
        <f t="shared" si="46"/>
        <v>3010106</v>
      </c>
      <c r="D166" t="str">
        <f t="shared" si="47"/>
        <v>03</v>
      </c>
      <c r="E166" t="str">
        <f t="shared" si="48"/>
        <v>640100</v>
      </c>
      <c r="F166" t="str">
        <f>"03/31/16"</f>
        <v>03/31/16</v>
      </c>
      <c r="G166" t="str">
        <f>"9379"</f>
        <v>9379</v>
      </c>
      <c r="H166" s="4">
        <v>194.49</v>
      </c>
      <c r="I166" s="3"/>
      <c r="J166" t="str">
        <f t="shared" si="52"/>
        <v>BARLOW'S PLUMBING &amp; WELL SYS INC</v>
      </c>
      <c r="K166" t="str">
        <f>"3447308"</f>
        <v>3447308</v>
      </c>
      <c r="L166" s="2" t="str">
        <f>"MPA-40  1/1/16-11/30/16  REGULAR HOURLY RATE FOR PLUMBER ON THE JOB."</f>
        <v>MPA-40  1/1/16-11/30/16  REGULAR HOURLY RATE FOR PLUMBER ON THE JOB.</v>
      </c>
      <c r="M166" t="str">
        <f t="shared" si="51"/>
        <v>MARYLIZZ</v>
      </c>
    </row>
    <row r="167" spans="1:13" x14ac:dyDescent="0.25">
      <c r="A167" t="str">
        <f t="shared" si="44"/>
        <v>10</v>
      </c>
      <c r="B167" t="str">
        <f t="shared" si="45"/>
        <v>066</v>
      </c>
      <c r="C167" t="str">
        <f t="shared" si="46"/>
        <v>3010106</v>
      </c>
      <c r="D167" t="str">
        <f t="shared" si="47"/>
        <v>03</v>
      </c>
      <c r="E167" t="str">
        <f t="shared" si="48"/>
        <v>640100</v>
      </c>
      <c r="F167" t="str">
        <f>"03/31/16"</f>
        <v>03/31/16</v>
      </c>
      <c r="G167" t="str">
        <f>"9434"</f>
        <v>9434</v>
      </c>
      <c r="H167" s="4">
        <v>713.13</v>
      </c>
      <c r="I167" s="3"/>
      <c r="J167" t="str">
        <f t="shared" si="52"/>
        <v>BARLOW'S PLUMBING &amp; WELL SYS INC</v>
      </c>
      <c r="K167" t="str">
        <f>"3447308"</f>
        <v>3447308</v>
      </c>
      <c r="L167" s="2" t="str">
        <f>"MPA-40  1/1/16-11/30/16  REGULAR HOURLY RATE FOR PLUMBER ON THE JOB."</f>
        <v>MPA-40  1/1/16-11/30/16  REGULAR HOURLY RATE FOR PLUMBER ON THE JOB.</v>
      </c>
      <c r="M167" t="str">
        <f t="shared" si="51"/>
        <v>MARYLIZZ</v>
      </c>
    </row>
    <row r="168" spans="1:13" ht="45" x14ac:dyDescent="0.25">
      <c r="A168" t="str">
        <f t="shared" si="44"/>
        <v>10</v>
      </c>
      <c r="B168" t="str">
        <f t="shared" si="45"/>
        <v>066</v>
      </c>
      <c r="C168" t="str">
        <f t="shared" si="46"/>
        <v>3010106</v>
      </c>
      <c r="D168" t="str">
        <f t="shared" si="47"/>
        <v>03</v>
      </c>
      <c r="E168" t="str">
        <f t="shared" si="48"/>
        <v>640100</v>
      </c>
      <c r="F168" t="str">
        <f>"03/31/16"</f>
        <v>03/31/16</v>
      </c>
      <c r="G168" t="str">
        <f>"9434"</f>
        <v>9434</v>
      </c>
      <c r="H168" s="4">
        <v>695.98</v>
      </c>
      <c r="I168" s="3"/>
      <c r="J168" t="str">
        <f t="shared" si="52"/>
        <v>BARLOW'S PLUMBING &amp; WELL SYS INC</v>
      </c>
      <c r="K168" t="str">
        <f>"3447308"</f>
        <v>3447308</v>
      </c>
      <c r="L168" s="2" t="str">
        <f>"MPA-40  1/1/16-11/30/16  MATERIALS ARE TO BE PROVIDED AT COST PLUS THE FOLLOWING (APPLICABLE) FEE FOR OVERHEAD, PICKUP, AND DELIVERY.  NO ADDITIONAL CHARGES WILL BE ACCEPTABLE."</f>
        <v>MPA-40  1/1/16-11/30/16  MATERIALS ARE TO BE PROVIDED AT COST PLUS THE FOLLOWING (APPLICABLE) FEE FOR OVERHEAD, PICKUP, AND DELIVERY.  NO ADDITIONAL CHARGES WILL BE ACCEPTABLE.</v>
      </c>
      <c r="M168" t="str">
        <f t="shared" si="51"/>
        <v>MARYLIZZ</v>
      </c>
    </row>
    <row r="169" spans="1:13" ht="45" x14ac:dyDescent="0.25">
      <c r="A169" t="str">
        <f t="shared" si="44"/>
        <v>10</v>
      </c>
      <c r="B169" t="str">
        <f t="shared" si="45"/>
        <v>066</v>
      </c>
      <c r="C169" t="str">
        <f t="shared" si="46"/>
        <v>3010106</v>
      </c>
      <c r="D169" t="str">
        <f t="shared" si="47"/>
        <v>03</v>
      </c>
      <c r="E169" t="str">
        <f t="shared" si="48"/>
        <v>640100</v>
      </c>
      <c r="F169" t="str">
        <f>"06/30/17"</f>
        <v>06/30/17</v>
      </c>
      <c r="G169" t="str">
        <f>"10030"</f>
        <v>10030</v>
      </c>
      <c r="H169" s="4">
        <v>22.25</v>
      </c>
      <c r="I169" s="3"/>
      <c r="J169" t="str">
        <f t="shared" si="52"/>
        <v>BARLOW'S PLUMBING &amp; WELL SYS INC</v>
      </c>
      <c r="K169" t="str">
        <f>"3493820"</f>
        <v>3493820</v>
      </c>
      <c r="L169" s="2" t="str">
        <f>"MPA-40   FY17 - FY18  MATERIALS ARE TO BE PROVIDED AT COST PLUS THE FOLLOWING (APPLICABLE) FEE FOR OVERHEAD, PICKUP, AND DELIVERY.  NO ADDITIONAL CHARGES WILL BE ACCEPTABLE."</f>
        <v>MPA-40   FY17 - FY18  MATERIALS ARE TO BE PROVIDED AT COST PLUS THE FOLLOWING (APPLICABLE) FEE FOR OVERHEAD, PICKUP, AND DELIVERY.  NO ADDITIONAL CHARGES WILL BE ACCEPTABLE.</v>
      </c>
      <c r="M169" t="str">
        <f t="shared" si="51"/>
        <v>MARYLIZZ</v>
      </c>
    </row>
    <row r="170" spans="1:13" x14ac:dyDescent="0.25">
      <c r="A170" t="str">
        <f t="shared" si="44"/>
        <v>10</v>
      </c>
      <c r="B170" t="str">
        <f t="shared" si="45"/>
        <v>066</v>
      </c>
      <c r="C170" t="str">
        <f t="shared" si="46"/>
        <v>3010106</v>
      </c>
      <c r="D170" t="str">
        <f t="shared" si="47"/>
        <v>03</v>
      </c>
      <c r="E170" t="str">
        <f t="shared" si="48"/>
        <v>640100</v>
      </c>
      <c r="F170" t="str">
        <f>"06/30/17"</f>
        <v>06/30/17</v>
      </c>
      <c r="G170" t="str">
        <f>"10030"</f>
        <v>10030</v>
      </c>
      <c r="H170" s="4">
        <v>131.16</v>
      </c>
      <c r="I170" s="3"/>
      <c r="J170" t="str">
        <f t="shared" si="52"/>
        <v>BARLOW'S PLUMBING &amp; WELL SYS INC</v>
      </c>
      <c r="K170" t="str">
        <f>"3493820"</f>
        <v>3493820</v>
      </c>
      <c r="L170" s="2" t="str">
        <f>"MPA-40   FY17 - FY18  REGULAR HOURLY RATE FOR PLUMBER ON THE JOB."</f>
        <v>MPA-40   FY17 - FY18  REGULAR HOURLY RATE FOR PLUMBER ON THE JOB.</v>
      </c>
      <c r="M170" t="str">
        <f t="shared" si="51"/>
        <v>MARYLIZZ</v>
      </c>
    </row>
    <row r="171" spans="1:13" ht="30" x14ac:dyDescent="0.25">
      <c r="A171" t="str">
        <f t="shared" si="44"/>
        <v>10</v>
      </c>
      <c r="B171" t="str">
        <f t="shared" si="45"/>
        <v>066</v>
      </c>
      <c r="C171" t="str">
        <f t="shared" si="46"/>
        <v>3010106</v>
      </c>
      <c r="D171" t="str">
        <f t="shared" si="47"/>
        <v>03</v>
      </c>
      <c r="E171" t="str">
        <f t="shared" si="48"/>
        <v>640100</v>
      </c>
      <c r="F171" t="str">
        <f>"08/31/16"</f>
        <v>08/31/16</v>
      </c>
      <c r="G171" t="str">
        <f>"9637"</f>
        <v>9637</v>
      </c>
      <c r="H171" s="4">
        <v>194.49</v>
      </c>
      <c r="I171" s="3"/>
      <c r="J171" t="str">
        <f t="shared" si="52"/>
        <v>BARLOW'S PLUMBING &amp; WELL SYS INC</v>
      </c>
      <c r="K171" t="str">
        <f>"3447308"</f>
        <v>3447308</v>
      </c>
      <c r="L171" s="2" t="str">
        <f>"MPA-40  1/1/16-11/30/16  REGULAR HOURLY RATE FOR AN APPRENTICE ON THE JOB, IF AUTHORIZED BY THE AGENCY."</f>
        <v>MPA-40  1/1/16-11/30/16  REGULAR HOURLY RATE FOR AN APPRENTICE ON THE JOB, IF AUTHORIZED BY THE AGENCY.</v>
      </c>
      <c r="M171" t="str">
        <f t="shared" si="51"/>
        <v>MARYLIZZ</v>
      </c>
    </row>
    <row r="172" spans="1:13" x14ac:dyDescent="0.25">
      <c r="A172" t="str">
        <f t="shared" si="44"/>
        <v>10</v>
      </c>
      <c r="B172" t="str">
        <f t="shared" si="45"/>
        <v>066</v>
      </c>
      <c r="C172" t="str">
        <f t="shared" si="46"/>
        <v>3010106</v>
      </c>
      <c r="D172" t="str">
        <f t="shared" si="47"/>
        <v>03</v>
      </c>
      <c r="E172" t="str">
        <f t="shared" si="48"/>
        <v>640100</v>
      </c>
      <c r="F172" t="str">
        <f t="shared" ref="F172:F177" si="53">"09/30/15"</f>
        <v>09/30/15</v>
      </c>
      <c r="G172" t="str">
        <f>"9100"</f>
        <v>9100</v>
      </c>
      <c r="H172" s="4">
        <v>437.5</v>
      </c>
      <c r="I172" s="3"/>
      <c r="J172" t="str">
        <f t="shared" si="52"/>
        <v>BARLOW'S PLUMBING &amp; WELL SYS INC</v>
      </c>
      <c r="K172" t="str">
        <f t="shared" ref="K172:K177" si="54">"3434627"</f>
        <v>3434627</v>
      </c>
      <c r="L172" s="2" t="str">
        <f>"MPA-40 FY16 REGULAR HOURLY RATE FOR PLUMBER ON THE JOB"</f>
        <v>MPA-40 FY16 REGULAR HOURLY RATE FOR PLUMBER ON THE JOB</v>
      </c>
      <c r="M172" t="str">
        <f t="shared" si="51"/>
        <v>MARYLIZZ</v>
      </c>
    </row>
    <row r="173" spans="1:13" ht="30" x14ac:dyDescent="0.25">
      <c r="A173" t="str">
        <f t="shared" si="44"/>
        <v>10</v>
      </c>
      <c r="B173" t="str">
        <f t="shared" si="45"/>
        <v>066</v>
      </c>
      <c r="C173" t="str">
        <f t="shared" si="46"/>
        <v>3010106</v>
      </c>
      <c r="D173" t="str">
        <f t="shared" si="47"/>
        <v>03</v>
      </c>
      <c r="E173" t="str">
        <f t="shared" si="48"/>
        <v>640100</v>
      </c>
      <c r="F173" t="str">
        <f t="shared" si="53"/>
        <v>09/30/15</v>
      </c>
      <c r="G173" t="str">
        <f>"9100"</f>
        <v>9100</v>
      </c>
      <c r="H173" s="4">
        <v>208.01</v>
      </c>
      <c r="I173" s="3"/>
      <c r="J173" t="str">
        <f t="shared" si="52"/>
        <v>BARLOW'S PLUMBING &amp; WELL SYS INC</v>
      </c>
      <c r="K173" t="str">
        <f t="shared" si="54"/>
        <v>3434627</v>
      </c>
      <c r="L173" s="2" t="str">
        <f>"MPA-40 FY16 MATERIALS ARE TO BE PROVIDED AT COST PLUS THE FOLLOWING (APPLICABLE) FEE FOR OVERHEAD, PICKUP AND DELIVERY.  NO ADDITIONAL CHARGES WILL BE ACCEPTABLE."</f>
        <v>MPA-40 FY16 MATERIALS ARE TO BE PROVIDED AT COST PLUS THE FOLLOWING (APPLICABLE) FEE FOR OVERHEAD, PICKUP AND DELIVERY.  NO ADDITIONAL CHARGES WILL BE ACCEPTABLE.</v>
      </c>
      <c r="M173" t="str">
        <f t="shared" si="51"/>
        <v>MARYLIZZ</v>
      </c>
    </row>
    <row r="174" spans="1:13" x14ac:dyDescent="0.25">
      <c r="A174" t="str">
        <f t="shared" si="44"/>
        <v>10</v>
      </c>
      <c r="B174" t="str">
        <f t="shared" si="45"/>
        <v>066</v>
      </c>
      <c r="C174" t="str">
        <f t="shared" si="46"/>
        <v>3010106</v>
      </c>
      <c r="D174" t="str">
        <f t="shared" si="47"/>
        <v>03</v>
      </c>
      <c r="E174" t="str">
        <f t="shared" si="48"/>
        <v>640100</v>
      </c>
      <c r="F174" t="str">
        <f t="shared" si="53"/>
        <v>09/30/15</v>
      </c>
      <c r="G174" t="str">
        <f>"9127"</f>
        <v>9127</v>
      </c>
      <c r="H174" s="4">
        <v>281.25</v>
      </c>
      <c r="I174" s="3"/>
      <c r="J174" t="str">
        <f t="shared" si="52"/>
        <v>BARLOW'S PLUMBING &amp; WELL SYS INC</v>
      </c>
      <c r="K174" t="str">
        <f t="shared" si="54"/>
        <v>3434627</v>
      </c>
      <c r="L174" s="2" t="str">
        <f>"MPA-40 FY16 REGULAR HOURLY RATE FOR PLUMBER ON THE JOB"</f>
        <v>MPA-40 FY16 REGULAR HOURLY RATE FOR PLUMBER ON THE JOB</v>
      </c>
      <c r="M174" t="str">
        <f t="shared" si="51"/>
        <v>MARYLIZZ</v>
      </c>
    </row>
    <row r="175" spans="1:13" ht="30" x14ac:dyDescent="0.25">
      <c r="A175" t="str">
        <f t="shared" si="44"/>
        <v>10</v>
      </c>
      <c r="B175" t="str">
        <f t="shared" si="45"/>
        <v>066</v>
      </c>
      <c r="C175" t="str">
        <f t="shared" si="46"/>
        <v>3010106</v>
      </c>
      <c r="D175" t="str">
        <f t="shared" si="47"/>
        <v>03</v>
      </c>
      <c r="E175" t="str">
        <f t="shared" si="48"/>
        <v>640100</v>
      </c>
      <c r="F175" t="str">
        <f t="shared" si="53"/>
        <v>09/30/15</v>
      </c>
      <c r="G175" t="str">
        <f>"9127"</f>
        <v>9127</v>
      </c>
      <c r="H175" s="4">
        <v>168.99</v>
      </c>
      <c r="I175" s="3"/>
      <c r="J175" t="str">
        <f t="shared" si="52"/>
        <v>BARLOW'S PLUMBING &amp; WELL SYS INC</v>
      </c>
      <c r="K175" t="str">
        <f t="shared" si="54"/>
        <v>3434627</v>
      </c>
      <c r="L175" s="2" t="str">
        <f>"MPA-40 FY16 MATERIALS ARE TO BE PROVIDED AT COST PLUS THE FOLLOWING (APPLICABLE) FEE FOR OVERHEAD, PICKUP AND DELIVERY.  NO ADDITIONAL CHARGES WILL BE ACCEPTABLE."</f>
        <v>MPA-40 FY16 MATERIALS ARE TO BE PROVIDED AT COST PLUS THE FOLLOWING (APPLICABLE) FEE FOR OVERHEAD, PICKUP AND DELIVERY.  NO ADDITIONAL CHARGES WILL BE ACCEPTABLE.</v>
      </c>
      <c r="M175" t="str">
        <f t="shared" si="51"/>
        <v>MARYLIZZ</v>
      </c>
    </row>
    <row r="176" spans="1:13" x14ac:dyDescent="0.25">
      <c r="A176" t="str">
        <f t="shared" si="44"/>
        <v>10</v>
      </c>
      <c r="B176" t="str">
        <f t="shared" si="45"/>
        <v>066</v>
      </c>
      <c r="C176" t="str">
        <f t="shared" si="46"/>
        <v>3010106</v>
      </c>
      <c r="D176" t="str">
        <f t="shared" si="47"/>
        <v>03</v>
      </c>
      <c r="E176" t="str">
        <f t="shared" si="48"/>
        <v>640100</v>
      </c>
      <c r="F176" t="str">
        <f t="shared" si="53"/>
        <v>09/30/15</v>
      </c>
      <c r="G176" t="str">
        <f>"9128"</f>
        <v>9128</v>
      </c>
      <c r="H176" s="4">
        <v>187.5</v>
      </c>
      <c r="I176" s="3"/>
      <c r="J176" t="str">
        <f t="shared" si="52"/>
        <v>BARLOW'S PLUMBING &amp; WELL SYS INC</v>
      </c>
      <c r="K176" t="str">
        <f t="shared" si="54"/>
        <v>3434627</v>
      </c>
      <c r="L176" s="2" t="str">
        <f>"MPA-40 FY16 REGULAR HOURLY RATE FOR PLUMBER ON THE JOB"</f>
        <v>MPA-40 FY16 REGULAR HOURLY RATE FOR PLUMBER ON THE JOB</v>
      </c>
      <c r="M176" t="str">
        <f t="shared" si="51"/>
        <v>MARYLIZZ</v>
      </c>
    </row>
    <row r="177" spans="1:13" ht="30" x14ac:dyDescent="0.25">
      <c r="A177" t="str">
        <f t="shared" si="44"/>
        <v>10</v>
      </c>
      <c r="B177" t="str">
        <f t="shared" si="45"/>
        <v>066</v>
      </c>
      <c r="C177" t="str">
        <f t="shared" si="46"/>
        <v>3010106</v>
      </c>
      <c r="D177" t="str">
        <f t="shared" si="47"/>
        <v>03</v>
      </c>
      <c r="E177" t="str">
        <f t="shared" si="48"/>
        <v>640100</v>
      </c>
      <c r="F177" t="str">
        <f t="shared" si="53"/>
        <v>09/30/15</v>
      </c>
      <c r="G177" t="str">
        <f>"9177"</f>
        <v>9177</v>
      </c>
      <c r="H177" s="4">
        <v>156.25</v>
      </c>
      <c r="I177" s="3"/>
      <c r="J177" t="str">
        <f t="shared" si="52"/>
        <v>BARLOW'S PLUMBING &amp; WELL SYS INC</v>
      </c>
      <c r="K177" t="str">
        <f t="shared" si="54"/>
        <v>3434627</v>
      </c>
      <c r="L177" s="2" t="str">
        <f>"MPA-40 FY16 REGULAR HOURLY RATE FOR A HELPER ON THE JOB, IF AUTHORIZED BY THE AGENCY"</f>
        <v>MPA-40 FY16 REGULAR HOURLY RATE FOR A HELPER ON THE JOB, IF AUTHORIZED BY THE AGENCY</v>
      </c>
      <c r="M177" t="str">
        <f t="shared" si="51"/>
        <v>MARYLIZZ</v>
      </c>
    </row>
    <row r="178" spans="1:13" x14ac:dyDescent="0.25">
      <c r="H178" s="6">
        <f>SUM(H155:H177)</f>
        <v>5096.99</v>
      </c>
      <c r="I178" s="6">
        <f>SUM(H155:H177)</f>
        <v>5096.99</v>
      </c>
      <c r="L178" s="2"/>
      <c r="M178" t="str">
        <f>"SVALLANT"</f>
        <v>SVALLANT</v>
      </c>
    </row>
    <row r="179" spans="1:13" x14ac:dyDescent="0.25">
      <c r="H179" s="7"/>
      <c r="I179" s="7"/>
      <c r="L179" s="2"/>
    </row>
    <row r="180" spans="1:13" ht="30" x14ac:dyDescent="0.25">
      <c r="A180" t="str">
        <f t="shared" ref="A180:A185" si="55">"10"</f>
        <v>10</v>
      </c>
      <c r="B180" t="str">
        <f t="shared" ref="B180:B185" si="56">"066"</f>
        <v>066</v>
      </c>
      <c r="C180" t="str">
        <f t="shared" ref="C180:C185" si="57">"3010106"</f>
        <v>3010106</v>
      </c>
      <c r="D180" t="str">
        <f t="shared" ref="D180:D185" si="58">"03"</f>
        <v>03</v>
      </c>
      <c r="E180" t="str">
        <f t="shared" ref="E180:E185" si="59">"660010"</f>
        <v>660010</v>
      </c>
      <c r="F180" t="str">
        <f>"02/29/16"</f>
        <v>02/29/16</v>
      </c>
      <c r="G180" t="str">
        <f>"APPLICATION 6"</f>
        <v>APPLICATION 6</v>
      </c>
      <c r="H180" s="3">
        <v>5000</v>
      </c>
      <c r="I180" s="3"/>
      <c r="J180" t="str">
        <f t="shared" ref="J180:J185" si="60">"BENTLEY BUILDERS LLC"</f>
        <v>BENTLEY BUILDERS LLC</v>
      </c>
      <c r="K180" t="str">
        <f>"3434251"</f>
        <v>3434251</v>
      </c>
      <c r="L180" s="2" t="str">
        <f t="shared" ref="L180:L185" si="61">"OFFICE RENOVATIONS AT THE RI ATTORNEY GENERAL'S OFFICE IN ACCORDANCE WITH PLANS, SPECIFICATIONS, AND DOCUMENTS OF PUBLIC BID #7549204"</f>
        <v>OFFICE RENOVATIONS AT THE RI ATTORNEY GENERAL'S OFFICE IN ACCORDANCE WITH PLANS, SPECIFICATIONS, AND DOCUMENTS OF PUBLIC BID #7549204</v>
      </c>
    </row>
    <row r="181" spans="1:13" ht="30" x14ac:dyDescent="0.25">
      <c r="A181" t="str">
        <f t="shared" si="55"/>
        <v>10</v>
      </c>
      <c r="B181" t="str">
        <f t="shared" si="56"/>
        <v>066</v>
      </c>
      <c r="C181" t="str">
        <f t="shared" si="57"/>
        <v>3010106</v>
      </c>
      <c r="D181" t="str">
        <f t="shared" si="58"/>
        <v>03</v>
      </c>
      <c r="E181" t="str">
        <f t="shared" si="59"/>
        <v>660010</v>
      </c>
      <c r="F181" t="str">
        <f>"05/31/15"</f>
        <v>05/31/15</v>
      </c>
      <c r="G181" t="str">
        <f>"APPLICATION 1"</f>
        <v>APPLICATION 1</v>
      </c>
      <c r="H181" s="3">
        <v>68600</v>
      </c>
      <c r="I181" s="3"/>
      <c r="J181" t="str">
        <f t="shared" si="60"/>
        <v>BENTLEY BUILDERS LLC</v>
      </c>
      <c r="K181" t="str">
        <f>"3414590"</f>
        <v>3414590</v>
      </c>
      <c r="L181" s="2" t="str">
        <f t="shared" si="61"/>
        <v>OFFICE RENOVATIONS AT THE RI ATTORNEY GENERAL'S OFFICE IN ACCORDANCE WITH PLANS, SPECIFICATIONS, AND DOCUMENTS OF PUBLIC BID #7549204</v>
      </c>
      <c r="M181" t="str">
        <f t="shared" ref="M181:M186" si="62">"SVALLANT"</f>
        <v>SVALLANT</v>
      </c>
    </row>
    <row r="182" spans="1:13" ht="30" x14ac:dyDescent="0.25">
      <c r="A182" t="str">
        <f t="shared" si="55"/>
        <v>10</v>
      </c>
      <c r="B182" t="str">
        <f t="shared" si="56"/>
        <v>066</v>
      </c>
      <c r="C182" t="str">
        <f t="shared" si="57"/>
        <v>3010106</v>
      </c>
      <c r="D182" t="str">
        <f t="shared" si="58"/>
        <v>03</v>
      </c>
      <c r="E182" t="str">
        <f t="shared" si="59"/>
        <v>660010</v>
      </c>
      <c r="F182" t="str">
        <f>"06/30/15"</f>
        <v>06/30/15</v>
      </c>
      <c r="G182" t="str">
        <f>"APPLICATION 2"</f>
        <v>APPLICATION 2</v>
      </c>
      <c r="H182" s="3">
        <v>58900</v>
      </c>
      <c r="I182" s="3"/>
      <c r="J182" t="str">
        <f t="shared" si="60"/>
        <v>BENTLEY BUILDERS LLC</v>
      </c>
      <c r="K182" t="str">
        <f>"3414590"</f>
        <v>3414590</v>
      </c>
      <c r="L182" s="2" t="str">
        <f t="shared" si="61"/>
        <v>OFFICE RENOVATIONS AT THE RI ATTORNEY GENERAL'S OFFICE IN ACCORDANCE WITH PLANS, SPECIFICATIONS, AND DOCUMENTS OF PUBLIC BID #7549204</v>
      </c>
      <c r="M182" t="str">
        <f t="shared" si="62"/>
        <v>SVALLANT</v>
      </c>
    </row>
    <row r="183" spans="1:13" ht="30" x14ac:dyDescent="0.25">
      <c r="A183" t="str">
        <f t="shared" si="55"/>
        <v>10</v>
      </c>
      <c r="B183" t="str">
        <f t="shared" si="56"/>
        <v>066</v>
      </c>
      <c r="C183" t="str">
        <f t="shared" si="57"/>
        <v>3010106</v>
      </c>
      <c r="D183" t="str">
        <f t="shared" si="58"/>
        <v>03</v>
      </c>
      <c r="E183" t="str">
        <f t="shared" si="59"/>
        <v>660010</v>
      </c>
      <c r="F183" t="str">
        <f>"06/30/15"</f>
        <v>06/30/15</v>
      </c>
      <c r="G183" t="str">
        <f>"APPLICATION 3"</f>
        <v>APPLICATION 3</v>
      </c>
      <c r="H183" s="3">
        <v>222560</v>
      </c>
      <c r="I183" s="3"/>
      <c r="J183" t="str">
        <f t="shared" si="60"/>
        <v>BENTLEY BUILDERS LLC</v>
      </c>
      <c r="K183" t="str">
        <f>"3414590"</f>
        <v>3414590</v>
      </c>
      <c r="L183" s="2" t="str">
        <f t="shared" si="61"/>
        <v>OFFICE RENOVATIONS AT THE RI ATTORNEY GENERAL'S OFFICE IN ACCORDANCE WITH PLANS, SPECIFICATIONS, AND DOCUMENTS OF PUBLIC BID #7549204</v>
      </c>
      <c r="M183" t="str">
        <f t="shared" si="62"/>
        <v>SVALLANT</v>
      </c>
    </row>
    <row r="184" spans="1:13" ht="30" x14ac:dyDescent="0.25">
      <c r="A184" t="str">
        <f t="shared" si="55"/>
        <v>10</v>
      </c>
      <c r="B184" t="str">
        <f t="shared" si="56"/>
        <v>066</v>
      </c>
      <c r="C184" t="str">
        <f t="shared" si="57"/>
        <v>3010106</v>
      </c>
      <c r="D184" t="str">
        <f t="shared" si="58"/>
        <v>03</v>
      </c>
      <c r="E184" t="str">
        <f t="shared" si="59"/>
        <v>660010</v>
      </c>
      <c r="F184" t="str">
        <f>"06/30/15"</f>
        <v>06/30/15</v>
      </c>
      <c r="G184" t="str">
        <f>"APPLICATION 4"</f>
        <v>APPLICATION 4</v>
      </c>
      <c r="H184" s="3">
        <v>26804.25</v>
      </c>
      <c r="I184" s="3"/>
      <c r="J184" t="str">
        <f t="shared" si="60"/>
        <v>BENTLEY BUILDERS LLC</v>
      </c>
      <c r="K184" t="str">
        <f>"3414590"</f>
        <v>3414590</v>
      </c>
      <c r="L184" s="2" t="str">
        <f t="shared" si="61"/>
        <v>OFFICE RENOVATIONS AT THE RI ATTORNEY GENERAL'S OFFICE IN ACCORDANCE WITH PLANS, SPECIFICATIONS, AND DOCUMENTS OF PUBLIC BID #7549204</v>
      </c>
      <c r="M184" t="str">
        <f t="shared" si="62"/>
        <v>SVALLANT</v>
      </c>
    </row>
    <row r="185" spans="1:13" ht="30" x14ac:dyDescent="0.25">
      <c r="A185" t="str">
        <f t="shared" si="55"/>
        <v>10</v>
      </c>
      <c r="B185" t="str">
        <f t="shared" si="56"/>
        <v>066</v>
      </c>
      <c r="C185" t="str">
        <f t="shared" si="57"/>
        <v>3010106</v>
      </c>
      <c r="D185" t="str">
        <f t="shared" si="58"/>
        <v>03</v>
      </c>
      <c r="E185" t="str">
        <f t="shared" si="59"/>
        <v>660010</v>
      </c>
      <c r="F185" t="str">
        <f>"12/31/15"</f>
        <v>12/31/15</v>
      </c>
      <c r="G185" t="str">
        <f>"APPLICATION 5"</f>
        <v>APPLICATION 5</v>
      </c>
      <c r="H185" s="3">
        <v>109516.21</v>
      </c>
      <c r="I185" s="3"/>
      <c r="J185" t="str">
        <f t="shared" si="60"/>
        <v>BENTLEY BUILDERS LLC</v>
      </c>
      <c r="K185" t="str">
        <f>"3434251"</f>
        <v>3434251</v>
      </c>
      <c r="L185" s="2" t="str">
        <f t="shared" si="61"/>
        <v>OFFICE RENOVATIONS AT THE RI ATTORNEY GENERAL'S OFFICE IN ACCORDANCE WITH PLANS, SPECIFICATIONS, AND DOCUMENTS OF PUBLIC BID #7549204</v>
      </c>
      <c r="M185" t="str">
        <f t="shared" si="62"/>
        <v>SVALLANT</v>
      </c>
    </row>
    <row r="186" spans="1:13" x14ac:dyDescent="0.25">
      <c r="H186" s="6">
        <f>SUM(H180:H185)</f>
        <v>491380.46</v>
      </c>
      <c r="I186" s="6">
        <f>SUM(H180:H185)</f>
        <v>491380.46</v>
      </c>
      <c r="L186" s="2"/>
      <c r="M186" t="str">
        <f t="shared" si="62"/>
        <v>SVALLANT</v>
      </c>
    </row>
    <row r="187" spans="1:13" x14ac:dyDescent="0.25">
      <c r="H187" s="3"/>
      <c r="I187" s="3"/>
      <c r="L187" s="2"/>
    </row>
    <row r="188" spans="1:13" x14ac:dyDescent="0.25">
      <c r="A188" t="str">
        <f t="shared" ref="A188:A235" si="63">"10"</f>
        <v>10</v>
      </c>
      <c r="B188" t="str">
        <f t="shared" ref="B188:B235" si="64">"066"</f>
        <v>066</v>
      </c>
      <c r="C188" t="str">
        <f t="shared" ref="C188:C235" si="65">"3010106"</f>
        <v>3010106</v>
      </c>
      <c r="D188" t="str">
        <f t="shared" ref="D188:D235" si="66">"03"</f>
        <v>03</v>
      </c>
      <c r="E188" t="str">
        <f t="shared" ref="E188:E235" si="67">"640100"</f>
        <v>640100</v>
      </c>
      <c r="F188" t="str">
        <f>"01/31/15"</f>
        <v>01/31/15</v>
      </c>
      <c r="G188" t="str">
        <f>"12146"</f>
        <v>12146</v>
      </c>
      <c r="H188" s="3">
        <v>1008</v>
      </c>
      <c r="I188" s="3"/>
      <c r="J188" t="str">
        <f t="shared" ref="J188:J235" si="68">"C &amp; K ELECTRIC CO INC"</f>
        <v>C &amp; K ELECTRIC CO INC</v>
      </c>
      <c r="K188" t="str">
        <f t="shared" ref="K188:K208" si="69">"3260742"</f>
        <v>3260742</v>
      </c>
      <c r="L188" s="2" t="str">
        <f>"MPA-41 7/1/13-3/31/15 - ELECTRICIAN STRAIGHT TIME"</f>
        <v>MPA-41 7/1/13-3/31/15 - ELECTRICIAN STRAIGHT TIME</v>
      </c>
    </row>
    <row r="189" spans="1:13" ht="30" x14ac:dyDescent="0.25">
      <c r="A189" t="str">
        <f t="shared" si="63"/>
        <v>10</v>
      </c>
      <c r="B189" t="str">
        <f t="shared" si="64"/>
        <v>066</v>
      </c>
      <c r="C189" t="str">
        <f t="shared" si="65"/>
        <v>3010106</v>
      </c>
      <c r="D189" t="str">
        <f t="shared" si="66"/>
        <v>03</v>
      </c>
      <c r="E189" t="str">
        <f t="shared" si="67"/>
        <v>640100</v>
      </c>
      <c r="F189" t="str">
        <f>"01/31/15"</f>
        <v>01/31/15</v>
      </c>
      <c r="G189" t="str">
        <f>"12146"</f>
        <v>12146</v>
      </c>
      <c r="H189" s="4">
        <v>92.42</v>
      </c>
      <c r="I189" s="3"/>
      <c r="J189" t="str">
        <f t="shared" si="68"/>
        <v>C &amp; K ELECTRIC CO INC</v>
      </c>
      <c r="K189" t="str">
        <f t="shared" si="69"/>
        <v>3260742</v>
      </c>
      <c r="L189"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189" t="str">
        <f>"SVALLANT"</f>
        <v>SVALLANT</v>
      </c>
    </row>
    <row r="190" spans="1:13" x14ac:dyDescent="0.25">
      <c r="A190" t="str">
        <f t="shared" si="63"/>
        <v>10</v>
      </c>
      <c r="B190" t="str">
        <f t="shared" si="64"/>
        <v>066</v>
      </c>
      <c r="C190" t="str">
        <f t="shared" si="65"/>
        <v>3010106</v>
      </c>
      <c r="D190" t="str">
        <f t="shared" si="66"/>
        <v>03</v>
      </c>
      <c r="E190" t="str">
        <f t="shared" si="67"/>
        <v>640100</v>
      </c>
      <c r="F190" t="str">
        <f t="shared" ref="F190:F198" si="70">"03/31/15"</f>
        <v>03/31/15</v>
      </c>
      <c r="G190" t="str">
        <f>"12213"</f>
        <v>12213</v>
      </c>
      <c r="H190" s="4">
        <v>936</v>
      </c>
      <c r="I190" s="3"/>
      <c r="J190" t="str">
        <f t="shared" si="68"/>
        <v>C &amp; K ELECTRIC CO INC</v>
      </c>
      <c r="K190" t="str">
        <f t="shared" si="69"/>
        <v>3260742</v>
      </c>
      <c r="L190" s="2" t="str">
        <f>"MPA-41 7/1/13-3/31/15 - ELECTRICIAN STRAIGHT TIME"</f>
        <v>MPA-41 7/1/13-3/31/15 - ELECTRICIAN STRAIGHT TIME</v>
      </c>
      <c r="M190" t="str">
        <f>"SVALLANT"</f>
        <v>SVALLANT</v>
      </c>
    </row>
    <row r="191" spans="1:13" ht="30" x14ac:dyDescent="0.25">
      <c r="A191" t="str">
        <f t="shared" si="63"/>
        <v>10</v>
      </c>
      <c r="B191" t="str">
        <f t="shared" si="64"/>
        <v>066</v>
      </c>
      <c r="C191" t="str">
        <f t="shared" si="65"/>
        <v>3010106</v>
      </c>
      <c r="D191" t="str">
        <f t="shared" si="66"/>
        <v>03</v>
      </c>
      <c r="E191" t="str">
        <f t="shared" si="67"/>
        <v>640100</v>
      </c>
      <c r="F191" t="str">
        <f t="shared" si="70"/>
        <v>03/31/15</v>
      </c>
      <c r="G191" t="str">
        <f>"12213"</f>
        <v>12213</v>
      </c>
      <c r="H191" s="4">
        <v>1697.98</v>
      </c>
      <c r="I191" s="3"/>
      <c r="J191" t="str">
        <f t="shared" si="68"/>
        <v>C &amp; K ELECTRIC CO INC</v>
      </c>
      <c r="K191" t="str">
        <f t="shared" si="69"/>
        <v>3260742</v>
      </c>
      <c r="L191"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191" t="str">
        <f t="shared" ref="M191:M199" si="71">"ROBCK1@V"</f>
        <v>ROBCK1@V</v>
      </c>
    </row>
    <row r="192" spans="1:13" x14ac:dyDescent="0.25">
      <c r="A192" t="str">
        <f t="shared" si="63"/>
        <v>10</v>
      </c>
      <c r="B192" t="str">
        <f t="shared" si="64"/>
        <v>066</v>
      </c>
      <c r="C192" t="str">
        <f t="shared" si="65"/>
        <v>3010106</v>
      </c>
      <c r="D192" t="str">
        <f t="shared" si="66"/>
        <v>03</v>
      </c>
      <c r="E192" t="str">
        <f t="shared" si="67"/>
        <v>640100</v>
      </c>
      <c r="F192" t="str">
        <f t="shared" si="70"/>
        <v>03/31/15</v>
      </c>
      <c r="G192" t="str">
        <f>"12229"</f>
        <v>12229</v>
      </c>
      <c r="H192" s="4">
        <v>216</v>
      </c>
      <c r="I192" s="3"/>
      <c r="J192" t="str">
        <f t="shared" si="68"/>
        <v>C &amp; K ELECTRIC CO INC</v>
      </c>
      <c r="K192" t="str">
        <f t="shared" si="69"/>
        <v>3260742</v>
      </c>
      <c r="L192" s="2" t="str">
        <f>"MPA-41 7/1/13-3/31/15 - ELECTRICIAN STRAIGHT TIME"</f>
        <v>MPA-41 7/1/13-3/31/15 - ELECTRICIAN STRAIGHT TIME</v>
      </c>
      <c r="M192" t="str">
        <f t="shared" si="71"/>
        <v>ROBCK1@V</v>
      </c>
    </row>
    <row r="193" spans="1:13" ht="30" x14ac:dyDescent="0.25">
      <c r="A193" t="str">
        <f t="shared" si="63"/>
        <v>10</v>
      </c>
      <c r="B193" t="str">
        <f t="shared" si="64"/>
        <v>066</v>
      </c>
      <c r="C193" t="str">
        <f t="shared" si="65"/>
        <v>3010106</v>
      </c>
      <c r="D193" t="str">
        <f t="shared" si="66"/>
        <v>03</v>
      </c>
      <c r="E193" t="str">
        <f t="shared" si="67"/>
        <v>640100</v>
      </c>
      <c r="F193" t="str">
        <f t="shared" si="70"/>
        <v>03/31/15</v>
      </c>
      <c r="G193" t="str">
        <f>"12229"</f>
        <v>12229</v>
      </c>
      <c r="H193" s="4">
        <v>340</v>
      </c>
      <c r="I193" s="3"/>
      <c r="J193" t="str">
        <f t="shared" si="68"/>
        <v>C &amp; K ELECTRIC CO INC</v>
      </c>
      <c r="K193" t="str">
        <f t="shared" si="69"/>
        <v>3260742</v>
      </c>
      <c r="L193"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193" t="str">
        <f t="shared" si="71"/>
        <v>ROBCK1@V</v>
      </c>
    </row>
    <row r="194" spans="1:13" ht="30" x14ac:dyDescent="0.25">
      <c r="A194" t="str">
        <f t="shared" si="63"/>
        <v>10</v>
      </c>
      <c r="B194" t="str">
        <f t="shared" si="64"/>
        <v>066</v>
      </c>
      <c r="C194" t="str">
        <f t="shared" si="65"/>
        <v>3010106</v>
      </c>
      <c r="D194" t="str">
        <f t="shared" si="66"/>
        <v>03</v>
      </c>
      <c r="E194" t="str">
        <f t="shared" si="67"/>
        <v>640100</v>
      </c>
      <c r="F194" t="str">
        <f t="shared" si="70"/>
        <v>03/31/15</v>
      </c>
      <c r="G194" t="str">
        <f>"12245"</f>
        <v>12245</v>
      </c>
      <c r="H194" s="4">
        <v>810.6</v>
      </c>
      <c r="I194" s="3"/>
      <c r="J194" t="str">
        <f t="shared" si="68"/>
        <v>C &amp; K ELECTRIC CO INC</v>
      </c>
      <c r="K194" t="str">
        <f t="shared" si="69"/>
        <v>3260742</v>
      </c>
      <c r="L194"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194" t="str">
        <f t="shared" si="71"/>
        <v>ROBCK1@V</v>
      </c>
    </row>
    <row r="195" spans="1:13" x14ac:dyDescent="0.25">
      <c r="A195" t="str">
        <f t="shared" si="63"/>
        <v>10</v>
      </c>
      <c r="B195" t="str">
        <f t="shared" si="64"/>
        <v>066</v>
      </c>
      <c r="C195" t="str">
        <f t="shared" si="65"/>
        <v>3010106</v>
      </c>
      <c r="D195" t="str">
        <f t="shared" si="66"/>
        <v>03</v>
      </c>
      <c r="E195" t="str">
        <f t="shared" si="67"/>
        <v>640100</v>
      </c>
      <c r="F195" t="str">
        <f t="shared" si="70"/>
        <v>03/31/15</v>
      </c>
      <c r="G195" t="str">
        <f>"12245"</f>
        <v>12245</v>
      </c>
      <c r="H195" s="4">
        <v>936</v>
      </c>
      <c r="I195" s="3"/>
      <c r="J195" t="str">
        <f t="shared" si="68"/>
        <v>C &amp; K ELECTRIC CO INC</v>
      </c>
      <c r="K195" t="str">
        <f t="shared" si="69"/>
        <v>3260742</v>
      </c>
      <c r="L195" s="2" t="str">
        <f>"MPA-41 7/1/13-3/31/15 - ELECTRICIAN STRAIGHT TIME"</f>
        <v>MPA-41 7/1/13-3/31/15 - ELECTRICIAN STRAIGHT TIME</v>
      </c>
      <c r="M195" t="str">
        <f t="shared" si="71"/>
        <v>ROBCK1@V</v>
      </c>
    </row>
    <row r="196" spans="1:13" ht="30" x14ac:dyDescent="0.25">
      <c r="A196" t="str">
        <f t="shared" si="63"/>
        <v>10</v>
      </c>
      <c r="B196" t="str">
        <f t="shared" si="64"/>
        <v>066</v>
      </c>
      <c r="C196" t="str">
        <f t="shared" si="65"/>
        <v>3010106</v>
      </c>
      <c r="D196" t="str">
        <f t="shared" si="66"/>
        <v>03</v>
      </c>
      <c r="E196" t="str">
        <f t="shared" si="67"/>
        <v>640100</v>
      </c>
      <c r="F196" t="str">
        <f t="shared" si="70"/>
        <v>03/31/15</v>
      </c>
      <c r="G196" t="str">
        <f>"12266"</f>
        <v>12266</v>
      </c>
      <c r="H196" s="4">
        <v>3500</v>
      </c>
      <c r="I196" s="3"/>
      <c r="J196" t="str">
        <f t="shared" si="68"/>
        <v>C &amp; K ELECTRIC CO INC</v>
      </c>
      <c r="K196" t="str">
        <f t="shared" si="69"/>
        <v>3260742</v>
      </c>
      <c r="L196"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196" t="str">
        <f t="shared" si="71"/>
        <v>ROBCK1@V</v>
      </c>
    </row>
    <row r="197" spans="1:13" x14ac:dyDescent="0.25">
      <c r="A197" t="str">
        <f t="shared" si="63"/>
        <v>10</v>
      </c>
      <c r="B197" t="str">
        <f t="shared" si="64"/>
        <v>066</v>
      </c>
      <c r="C197" t="str">
        <f t="shared" si="65"/>
        <v>3010106</v>
      </c>
      <c r="D197" t="str">
        <f t="shared" si="66"/>
        <v>03</v>
      </c>
      <c r="E197" t="str">
        <f t="shared" si="67"/>
        <v>640100</v>
      </c>
      <c r="F197" t="str">
        <f t="shared" si="70"/>
        <v>03/31/15</v>
      </c>
      <c r="G197" t="str">
        <f>"12266"</f>
        <v>12266</v>
      </c>
      <c r="H197" s="4">
        <v>3456</v>
      </c>
      <c r="I197" s="3"/>
      <c r="J197" t="str">
        <f t="shared" si="68"/>
        <v>C &amp; K ELECTRIC CO INC</v>
      </c>
      <c r="K197" t="str">
        <f t="shared" si="69"/>
        <v>3260742</v>
      </c>
      <c r="L197" s="2" t="str">
        <f>"MPA-41 7/1/13-3/31/15 - ELECTRICIAN STRAIGHT TIME"</f>
        <v>MPA-41 7/1/13-3/31/15 - ELECTRICIAN STRAIGHT TIME</v>
      </c>
      <c r="M197" t="str">
        <f t="shared" si="71"/>
        <v>ROBCK1@V</v>
      </c>
    </row>
    <row r="198" spans="1:13" x14ac:dyDescent="0.25">
      <c r="A198" t="str">
        <f t="shared" si="63"/>
        <v>10</v>
      </c>
      <c r="B198" t="str">
        <f t="shared" si="64"/>
        <v>066</v>
      </c>
      <c r="C198" t="str">
        <f t="shared" si="65"/>
        <v>3010106</v>
      </c>
      <c r="D198" t="str">
        <f t="shared" si="66"/>
        <v>03</v>
      </c>
      <c r="E198" t="str">
        <f t="shared" si="67"/>
        <v>640100</v>
      </c>
      <c r="F198" t="str">
        <f t="shared" si="70"/>
        <v>03/31/15</v>
      </c>
      <c r="G198" t="str">
        <f>"12267"</f>
        <v>12267</v>
      </c>
      <c r="H198" s="4">
        <v>864</v>
      </c>
      <c r="I198" s="3"/>
      <c r="J198" t="str">
        <f t="shared" si="68"/>
        <v>C &amp; K ELECTRIC CO INC</v>
      </c>
      <c r="K198" t="str">
        <f t="shared" si="69"/>
        <v>3260742</v>
      </c>
      <c r="L198" s="2" t="str">
        <f>"MPA-41 7/1/13-3/31/15 - ELECTRICIAN STRAIGHT TIME"</f>
        <v>MPA-41 7/1/13-3/31/15 - ELECTRICIAN STRAIGHT TIME</v>
      </c>
      <c r="M198" t="str">
        <f t="shared" si="71"/>
        <v>ROBCK1@V</v>
      </c>
    </row>
    <row r="199" spans="1:13" ht="30" x14ac:dyDescent="0.25">
      <c r="A199" t="str">
        <f t="shared" si="63"/>
        <v>10</v>
      </c>
      <c r="B199" t="str">
        <f t="shared" si="64"/>
        <v>066</v>
      </c>
      <c r="C199" t="str">
        <f t="shared" si="65"/>
        <v>3010106</v>
      </c>
      <c r="D199" t="str">
        <f t="shared" si="66"/>
        <v>03</v>
      </c>
      <c r="E199" t="str">
        <f t="shared" si="67"/>
        <v>640100</v>
      </c>
      <c r="F199" t="str">
        <f>"04/30/15"</f>
        <v>04/30/15</v>
      </c>
      <c r="G199" t="str">
        <f>"12330"</f>
        <v>12330</v>
      </c>
      <c r="H199" s="4">
        <v>844.98</v>
      </c>
      <c r="I199" s="3"/>
      <c r="J199" t="str">
        <f t="shared" si="68"/>
        <v>C &amp; K ELECTRIC CO INC</v>
      </c>
      <c r="K199" t="str">
        <f t="shared" si="69"/>
        <v>3260742</v>
      </c>
      <c r="L199"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199" t="str">
        <f t="shared" si="71"/>
        <v>ROBCK1@V</v>
      </c>
    </row>
    <row r="200" spans="1:13" x14ac:dyDescent="0.25">
      <c r="A200" t="str">
        <f t="shared" si="63"/>
        <v>10</v>
      </c>
      <c r="B200" t="str">
        <f t="shared" si="64"/>
        <v>066</v>
      </c>
      <c r="C200" t="str">
        <f t="shared" si="65"/>
        <v>3010106</v>
      </c>
      <c r="D200" t="str">
        <f t="shared" si="66"/>
        <v>03</v>
      </c>
      <c r="E200" t="str">
        <f t="shared" si="67"/>
        <v>640100</v>
      </c>
      <c r="F200" t="str">
        <f>"04/30/15"</f>
        <v>04/30/15</v>
      </c>
      <c r="G200" t="str">
        <f>"12330"</f>
        <v>12330</v>
      </c>
      <c r="H200" s="4">
        <v>1584</v>
      </c>
      <c r="I200" s="3"/>
      <c r="J200" t="str">
        <f t="shared" si="68"/>
        <v>C &amp; K ELECTRIC CO INC</v>
      </c>
      <c r="K200" t="str">
        <f t="shared" si="69"/>
        <v>3260742</v>
      </c>
      <c r="L200" s="2" t="str">
        <f>"MPA-41 7/1/13-6/30/15 - ELECTRICIAN STRAIGHT TIME"</f>
        <v>MPA-41 7/1/13-6/30/15 - ELECTRICIAN STRAIGHT TIME</v>
      </c>
      <c r="M200" t="str">
        <f t="shared" ref="M200:M209" si="72">"SVALLANT"</f>
        <v>SVALLANT</v>
      </c>
    </row>
    <row r="201" spans="1:13" ht="30" x14ac:dyDescent="0.25">
      <c r="A201" t="str">
        <f t="shared" si="63"/>
        <v>10</v>
      </c>
      <c r="B201" t="str">
        <f t="shared" si="64"/>
        <v>066</v>
      </c>
      <c r="C201" t="str">
        <f t="shared" si="65"/>
        <v>3010106</v>
      </c>
      <c r="D201" t="str">
        <f t="shared" si="66"/>
        <v>03</v>
      </c>
      <c r="E201" t="str">
        <f t="shared" si="67"/>
        <v>640100</v>
      </c>
      <c r="F201" t="str">
        <f>"04/30/15"</f>
        <v>04/30/15</v>
      </c>
      <c r="G201" t="str">
        <f>"12356"</f>
        <v>12356</v>
      </c>
      <c r="H201" s="4">
        <v>225.29</v>
      </c>
      <c r="I201" s="3"/>
      <c r="J201" t="str">
        <f t="shared" si="68"/>
        <v>C &amp; K ELECTRIC CO INC</v>
      </c>
      <c r="K201" t="str">
        <f t="shared" si="69"/>
        <v>3260742</v>
      </c>
      <c r="L201"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201" t="str">
        <f t="shared" si="72"/>
        <v>SVALLANT</v>
      </c>
    </row>
    <row r="202" spans="1:13" x14ac:dyDescent="0.25">
      <c r="A202" t="str">
        <f t="shared" si="63"/>
        <v>10</v>
      </c>
      <c r="B202" t="str">
        <f t="shared" si="64"/>
        <v>066</v>
      </c>
      <c r="C202" t="str">
        <f t="shared" si="65"/>
        <v>3010106</v>
      </c>
      <c r="D202" t="str">
        <f t="shared" si="66"/>
        <v>03</v>
      </c>
      <c r="E202" t="str">
        <f t="shared" si="67"/>
        <v>640100</v>
      </c>
      <c r="F202" t="str">
        <f>"04/30/15"</f>
        <v>04/30/15</v>
      </c>
      <c r="G202" t="str">
        <f>"12356"</f>
        <v>12356</v>
      </c>
      <c r="H202" s="4">
        <v>864</v>
      </c>
      <c r="I202" s="3"/>
      <c r="J202" t="str">
        <f t="shared" si="68"/>
        <v>C &amp; K ELECTRIC CO INC</v>
      </c>
      <c r="K202" t="str">
        <f t="shared" si="69"/>
        <v>3260742</v>
      </c>
      <c r="L202" s="2" t="str">
        <f>"MPA-41 7/1/13-6/30/15 - ELECTRICIAN STRAIGHT TIME"</f>
        <v>MPA-41 7/1/13-6/30/15 - ELECTRICIAN STRAIGHT TIME</v>
      </c>
      <c r="M202" t="str">
        <f t="shared" si="72"/>
        <v>SVALLANT</v>
      </c>
    </row>
    <row r="203" spans="1:13" x14ac:dyDescent="0.25">
      <c r="A203" t="str">
        <f t="shared" si="63"/>
        <v>10</v>
      </c>
      <c r="B203" t="str">
        <f t="shared" si="64"/>
        <v>066</v>
      </c>
      <c r="C203" t="str">
        <f t="shared" si="65"/>
        <v>3010106</v>
      </c>
      <c r="D203" t="str">
        <f t="shared" si="66"/>
        <v>03</v>
      </c>
      <c r="E203" t="str">
        <f t="shared" si="67"/>
        <v>640100</v>
      </c>
      <c r="F203" t="str">
        <f t="shared" ref="F203:F208" si="73">"06/30/15"</f>
        <v>06/30/15</v>
      </c>
      <c r="G203" t="str">
        <f>"12293"</f>
        <v>12293</v>
      </c>
      <c r="H203" s="4">
        <v>1368</v>
      </c>
      <c r="I203" s="3"/>
      <c r="J203" t="str">
        <f t="shared" si="68"/>
        <v>C &amp; K ELECTRIC CO INC</v>
      </c>
      <c r="K203" t="str">
        <f t="shared" si="69"/>
        <v>3260742</v>
      </c>
      <c r="L203" s="2" t="str">
        <f>"MPA-41 7/1/13-6/30/15 - ELECTRICIAN STRAIGHT TIME"</f>
        <v>MPA-41 7/1/13-6/30/15 - ELECTRICIAN STRAIGHT TIME</v>
      </c>
      <c r="M203" t="str">
        <f t="shared" si="72"/>
        <v>SVALLANT</v>
      </c>
    </row>
    <row r="204" spans="1:13" ht="30" x14ac:dyDescent="0.25">
      <c r="A204" t="str">
        <f t="shared" si="63"/>
        <v>10</v>
      </c>
      <c r="B204" t="str">
        <f t="shared" si="64"/>
        <v>066</v>
      </c>
      <c r="C204" t="str">
        <f t="shared" si="65"/>
        <v>3010106</v>
      </c>
      <c r="D204" t="str">
        <f t="shared" si="66"/>
        <v>03</v>
      </c>
      <c r="E204" t="str">
        <f t="shared" si="67"/>
        <v>640100</v>
      </c>
      <c r="F204" t="str">
        <f t="shared" si="73"/>
        <v>06/30/15</v>
      </c>
      <c r="G204" t="str">
        <f>"12293"</f>
        <v>12293</v>
      </c>
      <c r="H204" s="4">
        <v>223.68</v>
      </c>
      <c r="I204" s="3"/>
      <c r="J204" t="str">
        <f t="shared" si="68"/>
        <v>C &amp; K ELECTRIC CO INC</v>
      </c>
      <c r="K204" t="str">
        <f t="shared" si="69"/>
        <v>3260742</v>
      </c>
      <c r="L204"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204" t="str">
        <f t="shared" si="72"/>
        <v>SVALLANT</v>
      </c>
    </row>
    <row r="205" spans="1:13" x14ac:dyDescent="0.25">
      <c r="A205" t="str">
        <f t="shared" si="63"/>
        <v>10</v>
      </c>
      <c r="B205" t="str">
        <f t="shared" si="64"/>
        <v>066</v>
      </c>
      <c r="C205" t="str">
        <f t="shared" si="65"/>
        <v>3010106</v>
      </c>
      <c r="D205" t="str">
        <f t="shared" si="66"/>
        <v>03</v>
      </c>
      <c r="E205" t="str">
        <f t="shared" si="67"/>
        <v>640100</v>
      </c>
      <c r="F205" t="str">
        <f t="shared" si="73"/>
        <v>06/30/15</v>
      </c>
      <c r="G205" t="str">
        <f>"12383"</f>
        <v>12383</v>
      </c>
      <c r="H205" s="4">
        <v>432</v>
      </c>
      <c r="I205" s="3"/>
      <c r="J205" t="str">
        <f t="shared" si="68"/>
        <v>C &amp; K ELECTRIC CO INC</v>
      </c>
      <c r="K205" t="str">
        <f t="shared" si="69"/>
        <v>3260742</v>
      </c>
      <c r="L205" s="2" t="str">
        <f>"MPA-41 7/1/13-6/30/15 - ELECTRICIAN STRAIGHT TIME"</f>
        <v>MPA-41 7/1/13-6/30/15 - ELECTRICIAN STRAIGHT TIME</v>
      </c>
      <c r="M205" t="str">
        <f t="shared" si="72"/>
        <v>SVALLANT</v>
      </c>
    </row>
    <row r="206" spans="1:13" ht="30" x14ac:dyDescent="0.25">
      <c r="A206" t="str">
        <f t="shared" si="63"/>
        <v>10</v>
      </c>
      <c r="B206" t="str">
        <f t="shared" si="64"/>
        <v>066</v>
      </c>
      <c r="C206" t="str">
        <f t="shared" si="65"/>
        <v>3010106</v>
      </c>
      <c r="D206" t="str">
        <f t="shared" si="66"/>
        <v>03</v>
      </c>
      <c r="E206" t="str">
        <f t="shared" si="67"/>
        <v>640100</v>
      </c>
      <c r="F206" t="str">
        <f t="shared" si="73"/>
        <v>06/30/15</v>
      </c>
      <c r="G206" t="str">
        <f>"12383"</f>
        <v>12383</v>
      </c>
      <c r="H206" s="4">
        <v>4.25</v>
      </c>
      <c r="I206" s="3"/>
      <c r="J206" t="str">
        <f t="shared" si="68"/>
        <v>C &amp; K ELECTRIC CO INC</v>
      </c>
      <c r="K206" t="str">
        <f t="shared" si="69"/>
        <v>3260742</v>
      </c>
      <c r="L206"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206" t="str">
        <f t="shared" si="72"/>
        <v>SVALLANT</v>
      </c>
    </row>
    <row r="207" spans="1:13" x14ac:dyDescent="0.25">
      <c r="A207" t="str">
        <f t="shared" si="63"/>
        <v>10</v>
      </c>
      <c r="B207" t="str">
        <f t="shared" si="64"/>
        <v>066</v>
      </c>
      <c r="C207" t="str">
        <f t="shared" si="65"/>
        <v>3010106</v>
      </c>
      <c r="D207" t="str">
        <f t="shared" si="66"/>
        <v>03</v>
      </c>
      <c r="E207" t="str">
        <f t="shared" si="67"/>
        <v>640100</v>
      </c>
      <c r="F207" t="str">
        <f t="shared" si="73"/>
        <v>06/30/15</v>
      </c>
      <c r="G207" t="str">
        <f>"12391"</f>
        <v>12391</v>
      </c>
      <c r="H207" s="4">
        <v>180</v>
      </c>
      <c r="I207" s="3"/>
      <c r="J207" t="str">
        <f t="shared" si="68"/>
        <v>C &amp; K ELECTRIC CO INC</v>
      </c>
      <c r="K207" t="str">
        <f t="shared" si="69"/>
        <v>3260742</v>
      </c>
      <c r="L207" s="2" t="str">
        <f>"MPA-41 7/1/13-6/30/15 - ELECTRICIAN STRAIGHT TIME"</f>
        <v>MPA-41 7/1/13-6/30/15 - ELECTRICIAN STRAIGHT TIME</v>
      </c>
      <c r="M207" t="str">
        <f t="shared" si="72"/>
        <v>SVALLANT</v>
      </c>
    </row>
    <row r="208" spans="1:13" ht="30" x14ac:dyDescent="0.25">
      <c r="A208" t="str">
        <f t="shared" si="63"/>
        <v>10</v>
      </c>
      <c r="B208" t="str">
        <f t="shared" si="64"/>
        <v>066</v>
      </c>
      <c r="C208" t="str">
        <f t="shared" si="65"/>
        <v>3010106</v>
      </c>
      <c r="D208" t="str">
        <f t="shared" si="66"/>
        <v>03</v>
      </c>
      <c r="E208" t="str">
        <f t="shared" si="67"/>
        <v>640100</v>
      </c>
      <c r="F208" t="str">
        <f t="shared" si="73"/>
        <v>06/30/15</v>
      </c>
      <c r="G208" t="str">
        <f>"12391"</f>
        <v>12391</v>
      </c>
      <c r="H208" s="4">
        <v>147.6</v>
      </c>
      <c r="I208" s="3"/>
      <c r="J208" t="str">
        <f t="shared" si="68"/>
        <v>C &amp; K ELECTRIC CO INC</v>
      </c>
      <c r="K208" t="str">
        <f t="shared" si="69"/>
        <v>3260742</v>
      </c>
      <c r="L208"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208" t="str">
        <f t="shared" si="72"/>
        <v>SVALLANT</v>
      </c>
    </row>
    <row r="209" spans="1:13" ht="45" x14ac:dyDescent="0.25">
      <c r="A209" t="str">
        <f t="shared" si="63"/>
        <v>10</v>
      </c>
      <c r="B209" t="str">
        <f t="shared" si="64"/>
        <v>066</v>
      </c>
      <c r="C209" t="str">
        <f t="shared" si="65"/>
        <v>3010106</v>
      </c>
      <c r="D209" t="str">
        <f t="shared" si="66"/>
        <v>03</v>
      </c>
      <c r="E209" t="str">
        <f t="shared" si="67"/>
        <v>640100</v>
      </c>
      <c r="F209" t="str">
        <f>"06/30/16"</f>
        <v>06/30/16</v>
      </c>
      <c r="G209" t="str">
        <f>"13249"</f>
        <v>13249</v>
      </c>
      <c r="H209" s="4">
        <v>205.5</v>
      </c>
      <c r="I209" s="3"/>
      <c r="J209" t="str">
        <f t="shared" si="68"/>
        <v>C &amp; K ELECTRIC CO INC</v>
      </c>
      <c r="K209" t="str">
        <f>"3428552"</f>
        <v>3428552</v>
      </c>
      <c r="L209" s="2" t="str">
        <f>"MPA-41 9/1/15-9/31/16 - MATERIALS / PARTS:  THE OWNER SHALL BE ENTITLED TO ANY AND ALL MATERIAL OR TRADE DISCOUNTS OFF LIST PRICES THAT THE ELECTRICAL VENDOR RECEIVES.  MATERIAL QUOTES AND I"</f>
        <v>MPA-41 9/1/15-9/31/16 - MATERIALS / PARTS:  THE OWNER SHALL BE ENTITLED TO ANY AND ALL MATERIAL OR TRADE DISCOUNTS OFF LIST PRICES THAT THE ELECTRICAL VENDOR RECEIVES.  MATERIAL QUOTES AND I</v>
      </c>
      <c r="M209" t="str">
        <f t="shared" si="72"/>
        <v>SVALLANT</v>
      </c>
    </row>
    <row r="210" spans="1:13" ht="30" x14ac:dyDescent="0.25">
      <c r="A210" t="str">
        <f t="shared" si="63"/>
        <v>10</v>
      </c>
      <c r="B210" t="str">
        <f t="shared" si="64"/>
        <v>066</v>
      </c>
      <c r="C210" t="str">
        <f t="shared" si="65"/>
        <v>3010106</v>
      </c>
      <c r="D210" t="str">
        <f t="shared" si="66"/>
        <v>03</v>
      </c>
      <c r="E210" t="str">
        <f t="shared" si="67"/>
        <v>640100</v>
      </c>
      <c r="F210" t="str">
        <f>"06/30/16"</f>
        <v>06/30/16</v>
      </c>
      <c r="G210" t="str">
        <f>"13249"</f>
        <v>13249</v>
      </c>
      <c r="H210" s="4">
        <v>417.5</v>
      </c>
      <c r="I210" s="3"/>
      <c r="J210" t="str">
        <f t="shared" si="68"/>
        <v>C &amp; K ELECTRIC CO INC</v>
      </c>
      <c r="K210" t="str">
        <f>"3428552"</f>
        <v>3428552</v>
      </c>
      <c r="L210" s="2" t="str">
        <f>"MPA-41 9/1/15-9/31/16 - ELECTRICAL JOURNEYMAN REGULAR/STRAIGHT TIME MONDAY-FRIDAY LOW-MEDIUM VOLTAGE SERVICES"</f>
        <v>MPA-41 9/1/15-9/31/16 - ELECTRICAL JOURNEYMAN REGULAR/STRAIGHT TIME MONDAY-FRIDAY LOW-MEDIUM VOLTAGE SERVICES</v>
      </c>
      <c r="M210" t="str">
        <f>"ROB@CKEL"</f>
        <v>ROB@CKEL</v>
      </c>
    </row>
    <row r="211" spans="1:13" ht="30" x14ac:dyDescent="0.25">
      <c r="A211" t="str">
        <f t="shared" si="63"/>
        <v>10</v>
      </c>
      <c r="B211" t="str">
        <f t="shared" si="64"/>
        <v>066</v>
      </c>
      <c r="C211" t="str">
        <f t="shared" si="65"/>
        <v>3010106</v>
      </c>
      <c r="D211" t="str">
        <f t="shared" si="66"/>
        <v>03</v>
      </c>
      <c r="E211" t="str">
        <f t="shared" si="67"/>
        <v>640100</v>
      </c>
      <c r="F211" t="str">
        <f>"06/30/16"</f>
        <v>06/30/16</v>
      </c>
      <c r="G211" t="str">
        <f>"13304"</f>
        <v>13304</v>
      </c>
      <c r="H211" s="4">
        <v>83.5</v>
      </c>
      <c r="I211" s="3"/>
      <c r="J211" t="str">
        <f t="shared" si="68"/>
        <v>C &amp; K ELECTRIC CO INC</v>
      </c>
      <c r="K211" t="str">
        <f>"3428552"</f>
        <v>3428552</v>
      </c>
      <c r="L211" s="2" t="str">
        <f>"MPA-41 9/1/15-9/31/16 - ELECTRICAL JOURNEYMAN REGULAR/STRAIGHT TIME MONDAY-FRIDAY LOW-MEDIUM VOLTAGE SERVICES"</f>
        <v>MPA-41 9/1/15-9/31/16 - ELECTRICAL JOURNEYMAN REGULAR/STRAIGHT TIME MONDAY-FRIDAY LOW-MEDIUM VOLTAGE SERVICES</v>
      </c>
      <c r="M211" t="str">
        <f>"ROB@CKEL"</f>
        <v>ROB@CKEL</v>
      </c>
    </row>
    <row r="212" spans="1:13" ht="30" x14ac:dyDescent="0.25">
      <c r="A212" t="str">
        <f t="shared" si="63"/>
        <v>10</v>
      </c>
      <c r="B212" t="str">
        <f t="shared" si="64"/>
        <v>066</v>
      </c>
      <c r="C212" t="str">
        <f t="shared" si="65"/>
        <v>3010106</v>
      </c>
      <c r="D212" t="str">
        <f t="shared" si="66"/>
        <v>03</v>
      </c>
      <c r="E212" t="str">
        <f t="shared" si="67"/>
        <v>640100</v>
      </c>
      <c r="F212" t="str">
        <f>"07/31/15"</f>
        <v>07/31/15</v>
      </c>
      <c r="G212" t="str">
        <f>"12375"</f>
        <v>12375</v>
      </c>
      <c r="H212" s="4">
        <v>0.01</v>
      </c>
      <c r="I212" s="3"/>
      <c r="J212" t="str">
        <f t="shared" si="68"/>
        <v>C &amp; K ELECTRIC CO INC</v>
      </c>
      <c r="K212" t="str">
        <f t="shared" ref="K212:K221" si="74">"3260742"</f>
        <v>3260742</v>
      </c>
      <c r="L212"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212" t="str">
        <f>"MFUSCO"</f>
        <v>MFUSCO</v>
      </c>
    </row>
    <row r="213" spans="1:13" x14ac:dyDescent="0.25">
      <c r="A213" t="str">
        <f t="shared" si="63"/>
        <v>10</v>
      </c>
      <c r="B213" t="str">
        <f t="shared" si="64"/>
        <v>066</v>
      </c>
      <c r="C213" t="str">
        <f t="shared" si="65"/>
        <v>3010106</v>
      </c>
      <c r="D213" t="str">
        <f t="shared" si="66"/>
        <v>03</v>
      </c>
      <c r="E213" t="str">
        <f t="shared" si="67"/>
        <v>640100</v>
      </c>
      <c r="F213" t="str">
        <f>"07/31/15"</f>
        <v>07/31/15</v>
      </c>
      <c r="G213" t="str">
        <f>"12375"</f>
        <v>12375</v>
      </c>
      <c r="H213" s="4">
        <v>576</v>
      </c>
      <c r="I213" s="3"/>
      <c r="J213" t="str">
        <f t="shared" si="68"/>
        <v>C &amp; K ELECTRIC CO INC</v>
      </c>
      <c r="K213" t="str">
        <f t="shared" si="74"/>
        <v>3260742</v>
      </c>
      <c r="L213" s="2" t="str">
        <f>"MPA-41 7/1/13-8/31/15 - ELECTRICIAN STRAIGHT TIME"</f>
        <v>MPA-41 7/1/13-8/31/15 - ELECTRICIAN STRAIGHT TIME</v>
      </c>
      <c r="M213" t="str">
        <f t="shared" ref="M213:M224" si="75">"ROBCK1@V"</f>
        <v>ROBCK1@V</v>
      </c>
    </row>
    <row r="214" spans="1:13" ht="30" x14ac:dyDescent="0.25">
      <c r="A214" t="str">
        <f t="shared" si="63"/>
        <v>10</v>
      </c>
      <c r="B214" t="str">
        <f t="shared" si="64"/>
        <v>066</v>
      </c>
      <c r="C214" t="str">
        <f t="shared" si="65"/>
        <v>3010106</v>
      </c>
      <c r="D214" t="str">
        <f t="shared" si="66"/>
        <v>03</v>
      </c>
      <c r="E214" t="str">
        <f t="shared" si="67"/>
        <v>640100</v>
      </c>
      <c r="F214" t="str">
        <f>"07/31/15"</f>
        <v>07/31/15</v>
      </c>
      <c r="G214" t="str">
        <f>"12425"</f>
        <v>12425</v>
      </c>
      <c r="H214" s="4">
        <v>265.13</v>
      </c>
      <c r="I214" s="3"/>
      <c r="J214" t="str">
        <f t="shared" si="68"/>
        <v>C &amp; K ELECTRIC CO INC</v>
      </c>
      <c r="K214" t="str">
        <f t="shared" si="74"/>
        <v>3260742</v>
      </c>
      <c r="L214"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214" t="str">
        <f t="shared" si="75"/>
        <v>ROBCK1@V</v>
      </c>
    </row>
    <row r="215" spans="1:13" x14ac:dyDescent="0.25">
      <c r="A215" t="str">
        <f t="shared" si="63"/>
        <v>10</v>
      </c>
      <c r="B215" t="str">
        <f t="shared" si="64"/>
        <v>066</v>
      </c>
      <c r="C215" t="str">
        <f t="shared" si="65"/>
        <v>3010106</v>
      </c>
      <c r="D215" t="str">
        <f t="shared" si="66"/>
        <v>03</v>
      </c>
      <c r="E215" t="str">
        <f t="shared" si="67"/>
        <v>640100</v>
      </c>
      <c r="F215" t="str">
        <f>"07/31/15"</f>
        <v>07/31/15</v>
      </c>
      <c r="G215" t="str">
        <f>"12425"</f>
        <v>12425</v>
      </c>
      <c r="H215" s="4">
        <v>72</v>
      </c>
      <c r="I215" s="3"/>
      <c r="J215" t="str">
        <f t="shared" si="68"/>
        <v>C &amp; K ELECTRIC CO INC</v>
      </c>
      <c r="K215" t="str">
        <f t="shared" si="74"/>
        <v>3260742</v>
      </c>
      <c r="L215" s="2" t="str">
        <f>"MPA-41 7/1/13-8/31/15 - ELECTRICIAN STRAIGHT TIME"</f>
        <v>MPA-41 7/1/13-8/31/15 - ELECTRICIAN STRAIGHT TIME</v>
      </c>
      <c r="M215" t="str">
        <f t="shared" si="75"/>
        <v>ROBCK1@V</v>
      </c>
    </row>
    <row r="216" spans="1:13" x14ac:dyDescent="0.25">
      <c r="A216" t="str">
        <f t="shared" si="63"/>
        <v>10</v>
      </c>
      <c r="B216" t="str">
        <f t="shared" si="64"/>
        <v>066</v>
      </c>
      <c r="C216" t="str">
        <f t="shared" si="65"/>
        <v>3010106</v>
      </c>
      <c r="D216" t="str">
        <f t="shared" si="66"/>
        <v>03</v>
      </c>
      <c r="E216" t="str">
        <f t="shared" si="67"/>
        <v>640100</v>
      </c>
      <c r="F216" t="str">
        <f t="shared" ref="F216:F221" si="76">"08/31/15"</f>
        <v>08/31/15</v>
      </c>
      <c r="G216" t="str">
        <f>"12443"</f>
        <v>12443</v>
      </c>
      <c r="H216" s="4">
        <v>2736</v>
      </c>
      <c r="I216" s="3"/>
      <c r="J216" t="str">
        <f t="shared" si="68"/>
        <v>C &amp; K ELECTRIC CO INC</v>
      </c>
      <c r="K216" t="str">
        <f t="shared" si="74"/>
        <v>3260742</v>
      </c>
      <c r="L216" s="2" t="str">
        <f>"MPA-41 7/1/13-8/31/15 - ELECTRICIAN STRAIGHT TIME"</f>
        <v>MPA-41 7/1/13-8/31/15 - ELECTRICIAN STRAIGHT TIME</v>
      </c>
      <c r="M216" t="str">
        <f t="shared" si="75"/>
        <v>ROBCK1@V</v>
      </c>
    </row>
    <row r="217" spans="1:13" ht="30" x14ac:dyDescent="0.25">
      <c r="A217" t="str">
        <f t="shared" si="63"/>
        <v>10</v>
      </c>
      <c r="B217" t="str">
        <f t="shared" si="64"/>
        <v>066</v>
      </c>
      <c r="C217" t="str">
        <f t="shared" si="65"/>
        <v>3010106</v>
      </c>
      <c r="D217" t="str">
        <f t="shared" si="66"/>
        <v>03</v>
      </c>
      <c r="E217" t="str">
        <f t="shared" si="67"/>
        <v>640100</v>
      </c>
      <c r="F217" t="str">
        <f t="shared" si="76"/>
        <v>08/31/15</v>
      </c>
      <c r="G217" t="str">
        <f>"12443"</f>
        <v>12443</v>
      </c>
      <c r="H217" s="4">
        <v>1588.6</v>
      </c>
      <c r="I217" s="3"/>
      <c r="J217" t="str">
        <f t="shared" si="68"/>
        <v>C &amp; K ELECTRIC CO INC</v>
      </c>
      <c r="K217" t="str">
        <f t="shared" si="74"/>
        <v>3260742</v>
      </c>
      <c r="L217"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217" t="str">
        <f t="shared" si="75"/>
        <v>ROBCK1@V</v>
      </c>
    </row>
    <row r="218" spans="1:13" x14ac:dyDescent="0.25">
      <c r="A218" t="str">
        <f t="shared" si="63"/>
        <v>10</v>
      </c>
      <c r="B218" t="str">
        <f t="shared" si="64"/>
        <v>066</v>
      </c>
      <c r="C218" t="str">
        <f t="shared" si="65"/>
        <v>3010106</v>
      </c>
      <c r="D218" t="str">
        <f t="shared" si="66"/>
        <v>03</v>
      </c>
      <c r="E218" t="str">
        <f t="shared" si="67"/>
        <v>640100</v>
      </c>
      <c r="F218" t="str">
        <f t="shared" si="76"/>
        <v>08/31/15</v>
      </c>
      <c r="G218" t="str">
        <f>"12492"</f>
        <v>12492</v>
      </c>
      <c r="H218" s="4">
        <v>648</v>
      </c>
      <c r="I218" s="3"/>
      <c r="J218" t="str">
        <f t="shared" si="68"/>
        <v>C &amp; K ELECTRIC CO INC</v>
      </c>
      <c r="K218" t="str">
        <f t="shared" si="74"/>
        <v>3260742</v>
      </c>
      <c r="L218" s="2" t="str">
        <f>"MPA-41 7/1/13-8/31/15 - ELECTRICIAN STRAIGHT TIME"</f>
        <v>MPA-41 7/1/13-8/31/15 - ELECTRICIAN STRAIGHT TIME</v>
      </c>
      <c r="M218" t="str">
        <f t="shared" si="75"/>
        <v>ROBCK1@V</v>
      </c>
    </row>
    <row r="219" spans="1:13" ht="30" x14ac:dyDescent="0.25">
      <c r="A219" t="str">
        <f t="shared" si="63"/>
        <v>10</v>
      </c>
      <c r="B219" t="str">
        <f t="shared" si="64"/>
        <v>066</v>
      </c>
      <c r="C219" t="str">
        <f t="shared" si="65"/>
        <v>3010106</v>
      </c>
      <c r="D219" t="str">
        <f t="shared" si="66"/>
        <v>03</v>
      </c>
      <c r="E219" t="str">
        <f t="shared" si="67"/>
        <v>640100</v>
      </c>
      <c r="F219" t="str">
        <f t="shared" si="76"/>
        <v>08/31/15</v>
      </c>
      <c r="G219" t="str">
        <f>"12492"</f>
        <v>12492</v>
      </c>
      <c r="H219" s="4">
        <v>90</v>
      </c>
      <c r="I219" s="3"/>
      <c r="J219" t="str">
        <f t="shared" si="68"/>
        <v>C &amp; K ELECTRIC CO INC</v>
      </c>
      <c r="K219" t="str">
        <f t="shared" si="74"/>
        <v>3260742</v>
      </c>
      <c r="L219"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219" t="str">
        <f t="shared" si="75"/>
        <v>ROBCK1@V</v>
      </c>
    </row>
    <row r="220" spans="1:13" x14ac:dyDescent="0.25">
      <c r="A220" t="str">
        <f t="shared" si="63"/>
        <v>10</v>
      </c>
      <c r="B220" t="str">
        <f t="shared" si="64"/>
        <v>066</v>
      </c>
      <c r="C220" t="str">
        <f t="shared" si="65"/>
        <v>3010106</v>
      </c>
      <c r="D220" t="str">
        <f t="shared" si="66"/>
        <v>03</v>
      </c>
      <c r="E220" t="str">
        <f t="shared" si="67"/>
        <v>640100</v>
      </c>
      <c r="F220" t="str">
        <f t="shared" si="76"/>
        <v>08/31/15</v>
      </c>
      <c r="G220" t="str">
        <f>"12528"</f>
        <v>12528</v>
      </c>
      <c r="H220" s="4">
        <v>1656</v>
      </c>
      <c r="I220" s="3"/>
      <c r="J220" t="str">
        <f t="shared" si="68"/>
        <v>C &amp; K ELECTRIC CO INC</v>
      </c>
      <c r="K220" t="str">
        <f t="shared" si="74"/>
        <v>3260742</v>
      </c>
      <c r="L220" s="2" t="str">
        <f>"MPA-41 7/1/13-8/31/15 - ELECTRICIAN STRAIGHT TIME"</f>
        <v>MPA-41 7/1/13-8/31/15 - ELECTRICIAN STRAIGHT TIME</v>
      </c>
      <c r="M220" t="str">
        <f t="shared" si="75"/>
        <v>ROBCK1@V</v>
      </c>
    </row>
    <row r="221" spans="1:13" ht="30" x14ac:dyDescent="0.25">
      <c r="A221" t="str">
        <f t="shared" si="63"/>
        <v>10</v>
      </c>
      <c r="B221" t="str">
        <f t="shared" si="64"/>
        <v>066</v>
      </c>
      <c r="C221" t="str">
        <f t="shared" si="65"/>
        <v>3010106</v>
      </c>
      <c r="D221" t="str">
        <f t="shared" si="66"/>
        <v>03</v>
      </c>
      <c r="E221" t="str">
        <f t="shared" si="67"/>
        <v>640100</v>
      </c>
      <c r="F221" t="str">
        <f t="shared" si="76"/>
        <v>08/31/15</v>
      </c>
      <c r="G221" t="str">
        <f>"12528"</f>
        <v>12528</v>
      </c>
      <c r="H221" s="4">
        <v>671.23</v>
      </c>
      <c r="I221" s="3"/>
      <c r="J221" t="str">
        <f t="shared" si="68"/>
        <v>C &amp; K ELECTRIC CO INC</v>
      </c>
      <c r="K221" t="str">
        <f t="shared" si="74"/>
        <v>3260742</v>
      </c>
      <c r="L221"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221" t="str">
        <f t="shared" si="75"/>
        <v>ROBCK1@V</v>
      </c>
    </row>
    <row r="222" spans="1:13" ht="45" x14ac:dyDescent="0.25">
      <c r="A222" t="str">
        <f t="shared" si="63"/>
        <v>10</v>
      </c>
      <c r="B222" t="str">
        <f t="shared" si="64"/>
        <v>066</v>
      </c>
      <c r="C222" t="str">
        <f t="shared" si="65"/>
        <v>3010106</v>
      </c>
      <c r="D222" t="str">
        <f t="shared" si="66"/>
        <v>03</v>
      </c>
      <c r="E222" t="str">
        <f t="shared" si="67"/>
        <v>640100</v>
      </c>
      <c r="F222" t="str">
        <f>"09/30/15"</f>
        <v>09/30/15</v>
      </c>
      <c r="G222" t="str">
        <f>"12582"</f>
        <v>12582</v>
      </c>
      <c r="H222" s="4">
        <v>15</v>
      </c>
      <c r="I222" s="3"/>
      <c r="J222" t="str">
        <f t="shared" si="68"/>
        <v>C &amp; K ELECTRIC CO INC</v>
      </c>
      <c r="K222" t="str">
        <f t="shared" ref="K222:K230" si="77">"3428552"</f>
        <v>3428552</v>
      </c>
      <c r="L222" s="2" t="str">
        <f>"MPA-41 9/1/15-9/31/16 - MATERIALS / PARTS:  THE OWNER SHALL BE ENTITLED TO ANY AND ALL MATERIAL OR TRADE DISCOUNTS OFF LIST PRICES THAT THE ELECTRICAL VENDOR RECEIVES.  MATERIAL QUOTES AND I"</f>
        <v>MPA-41 9/1/15-9/31/16 - MATERIALS / PARTS:  THE OWNER SHALL BE ENTITLED TO ANY AND ALL MATERIAL OR TRADE DISCOUNTS OFF LIST PRICES THAT THE ELECTRICAL VENDOR RECEIVES.  MATERIAL QUOTES AND I</v>
      </c>
      <c r="M222" t="str">
        <f t="shared" si="75"/>
        <v>ROBCK1@V</v>
      </c>
    </row>
    <row r="223" spans="1:13" ht="30" x14ac:dyDescent="0.25">
      <c r="A223" t="str">
        <f t="shared" si="63"/>
        <v>10</v>
      </c>
      <c r="B223" t="str">
        <f t="shared" si="64"/>
        <v>066</v>
      </c>
      <c r="C223" t="str">
        <f t="shared" si="65"/>
        <v>3010106</v>
      </c>
      <c r="D223" t="str">
        <f t="shared" si="66"/>
        <v>03</v>
      </c>
      <c r="E223" t="str">
        <f t="shared" si="67"/>
        <v>640100</v>
      </c>
      <c r="F223" t="str">
        <f>"09/30/15"</f>
        <v>09/30/15</v>
      </c>
      <c r="G223" t="str">
        <f>"12582"</f>
        <v>12582</v>
      </c>
      <c r="H223" s="4">
        <v>167</v>
      </c>
      <c r="I223" s="3"/>
      <c r="J223" t="str">
        <f t="shared" si="68"/>
        <v>C &amp; K ELECTRIC CO INC</v>
      </c>
      <c r="K223" t="str">
        <f t="shared" si="77"/>
        <v>3428552</v>
      </c>
      <c r="L223" s="2" t="str">
        <f>"MPA-41 9/1/15-9/31/16 - ELECTRICAL JOURNEYMAN REGULAR/STRAIGHT TIME MONDAY-FRIDAY LOW-MEDIUM VOLTAGE SERVICES"</f>
        <v>MPA-41 9/1/15-9/31/16 - ELECTRICAL JOURNEYMAN REGULAR/STRAIGHT TIME MONDAY-FRIDAY LOW-MEDIUM VOLTAGE SERVICES</v>
      </c>
      <c r="M223" t="str">
        <f t="shared" si="75"/>
        <v>ROBCK1@V</v>
      </c>
    </row>
    <row r="224" spans="1:13" ht="30" x14ac:dyDescent="0.25">
      <c r="A224" t="str">
        <f t="shared" si="63"/>
        <v>10</v>
      </c>
      <c r="B224" t="str">
        <f t="shared" si="64"/>
        <v>066</v>
      </c>
      <c r="C224" t="str">
        <f t="shared" si="65"/>
        <v>3010106</v>
      </c>
      <c r="D224" t="str">
        <f t="shared" si="66"/>
        <v>03</v>
      </c>
      <c r="E224" t="str">
        <f t="shared" si="67"/>
        <v>640100</v>
      </c>
      <c r="F224" t="str">
        <f>"09/30/16"</f>
        <v>09/30/16</v>
      </c>
      <c r="G224" t="str">
        <f>"13396"</f>
        <v>13396</v>
      </c>
      <c r="H224" s="4">
        <v>501</v>
      </c>
      <c r="I224" s="3"/>
      <c r="J224" t="str">
        <f t="shared" si="68"/>
        <v>C &amp; K ELECTRIC CO INC</v>
      </c>
      <c r="K224" t="str">
        <f t="shared" si="77"/>
        <v>3428552</v>
      </c>
      <c r="L224" s="2" t="str">
        <f>"MPA-41 9/1/15-9/31/16 - ELECTRICAL JOURNEYMAN REGULAR/STRAIGHT TIME MONDAY-FRIDAY LOW-MEDIUM VOLTAGE SERVICES"</f>
        <v>MPA-41 9/1/15-9/31/16 - ELECTRICAL JOURNEYMAN REGULAR/STRAIGHT TIME MONDAY-FRIDAY LOW-MEDIUM VOLTAGE SERVICES</v>
      </c>
      <c r="M224" t="str">
        <f t="shared" si="75"/>
        <v>ROBCK1@V</v>
      </c>
    </row>
    <row r="225" spans="1:13" ht="45" x14ac:dyDescent="0.25">
      <c r="A225" t="str">
        <f t="shared" si="63"/>
        <v>10</v>
      </c>
      <c r="B225" t="str">
        <f t="shared" si="64"/>
        <v>066</v>
      </c>
      <c r="C225" t="str">
        <f t="shared" si="65"/>
        <v>3010106</v>
      </c>
      <c r="D225" t="str">
        <f t="shared" si="66"/>
        <v>03</v>
      </c>
      <c r="E225" t="str">
        <f t="shared" si="67"/>
        <v>640100</v>
      </c>
      <c r="F225" t="str">
        <f>"09/30/16"</f>
        <v>09/30/16</v>
      </c>
      <c r="G225" t="str">
        <f>"13396"</f>
        <v>13396</v>
      </c>
      <c r="H225" s="4">
        <v>228.5</v>
      </c>
      <c r="I225" s="3"/>
      <c r="J225" t="str">
        <f t="shared" si="68"/>
        <v>C &amp; K ELECTRIC CO INC</v>
      </c>
      <c r="K225" t="str">
        <f t="shared" si="77"/>
        <v>3428552</v>
      </c>
      <c r="L225" s="2" t="str">
        <f>"MPA-41 9/1/15-9/31/16 - MATERIALS / PARTS:  THE OWNER SHALL BE ENTITLED TO ANY AND ALL MATERIAL OR TRADE DISCOUNTS OFF LIST PRICES THAT THE ELECTRICAL VENDOR RECEIVES.  MATERIAL QUOTES AND I"</f>
        <v>MPA-41 9/1/15-9/31/16 - MATERIALS / PARTS:  THE OWNER SHALL BE ENTITLED TO ANY AND ALL MATERIAL OR TRADE DISCOUNTS OFF LIST PRICES THAT THE ELECTRICAL VENDOR RECEIVES.  MATERIAL QUOTES AND I</v>
      </c>
      <c r="M225" t="str">
        <f>"ROB@CKEL"</f>
        <v>ROB@CKEL</v>
      </c>
    </row>
    <row r="226" spans="1:13" ht="45" x14ac:dyDescent="0.25">
      <c r="A226" t="str">
        <f t="shared" si="63"/>
        <v>10</v>
      </c>
      <c r="B226" t="str">
        <f t="shared" si="64"/>
        <v>066</v>
      </c>
      <c r="C226" t="str">
        <f t="shared" si="65"/>
        <v>3010106</v>
      </c>
      <c r="D226" t="str">
        <f t="shared" si="66"/>
        <v>03</v>
      </c>
      <c r="E226" t="str">
        <f t="shared" si="67"/>
        <v>640100</v>
      </c>
      <c r="F226" t="str">
        <f>"09/30/16"</f>
        <v>09/30/16</v>
      </c>
      <c r="G226" t="str">
        <f>"13405"</f>
        <v>13405</v>
      </c>
      <c r="H226" s="4">
        <v>450</v>
      </c>
      <c r="I226" s="3"/>
      <c r="J226" t="str">
        <f t="shared" si="68"/>
        <v>C &amp; K ELECTRIC CO INC</v>
      </c>
      <c r="K226" t="str">
        <f t="shared" si="77"/>
        <v>3428552</v>
      </c>
      <c r="L226" s="2" t="str">
        <f>"MPA-41 9/1/15-9/31/16 - MATERIALS / PARTS:  THE OWNER SHALL BE ENTITLED TO ANY AND ALL MATERIAL OR TRADE DISCOUNTS OFF LIST PRICES THAT THE ELECTRICAL VENDOR RECEIVES.  MATERIAL QUOTES AND I"</f>
        <v>MPA-41 9/1/15-9/31/16 - MATERIALS / PARTS:  THE OWNER SHALL BE ENTITLED TO ANY AND ALL MATERIAL OR TRADE DISCOUNTS OFF LIST PRICES THAT THE ELECTRICAL VENDOR RECEIVES.  MATERIAL QUOTES AND I</v>
      </c>
      <c r="M226" t="str">
        <f>"ROB@CKEL"</f>
        <v>ROB@CKEL</v>
      </c>
    </row>
    <row r="227" spans="1:13" ht="30" x14ac:dyDescent="0.25">
      <c r="A227" t="str">
        <f t="shared" si="63"/>
        <v>10</v>
      </c>
      <c r="B227" t="str">
        <f t="shared" si="64"/>
        <v>066</v>
      </c>
      <c r="C227" t="str">
        <f t="shared" si="65"/>
        <v>3010106</v>
      </c>
      <c r="D227" t="str">
        <f t="shared" si="66"/>
        <v>03</v>
      </c>
      <c r="E227" t="str">
        <f t="shared" si="67"/>
        <v>640100</v>
      </c>
      <c r="F227" t="str">
        <f>"09/30/16"</f>
        <v>09/30/16</v>
      </c>
      <c r="G227" t="str">
        <f>"13405"</f>
        <v>13405</v>
      </c>
      <c r="H227" s="4">
        <v>2672</v>
      </c>
      <c r="I227" s="3"/>
      <c r="J227" t="str">
        <f t="shared" si="68"/>
        <v>C &amp; K ELECTRIC CO INC</v>
      </c>
      <c r="K227" t="str">
        <f t="shared" si="77"/>
        <v>3428552</v>
      </c>
      <c r="L227" s="2" t="str">
        <f>"MPA-41 9/1/15-9/31/16 - ELECTRICAL JOURNEYMAN REGULAR/STRAIGHT TIME MONDAY-FRIDAY LOW-MEDIUM VOLTAGE SERVICES"</f>
        <v>MPA-41 9/1/15-9/31/16 - ELECTRICAL JOURNEYMAN REGULAR/STRAIGHT TIME MONDAY-FRIDAY LOW-MEDIUM VOLTAGE SERVICES</v>
      </c>
      <c r="M227" t="str">
        <f>"ROB@CKEL"</f>
        <v>ROB@CKEL</v>
      </c>
    </row>
    <row r="228" spans="1:13" ht="30" x14ac:dyDescent="0.25">
      <c r="A228" t="str">
        <f t="shared" si="63"/>
        <v>10</v>
      </c>
      <c r="B228" t="str">
        <f t="shared" si="64"/>
        <v>066</v>
      </c>
      <c r="C228" t="str">
        <f t="shared" si="65"/>
        <v>3010106</v>
      </c>
      <c r="D228" t="str">
        <f t="shared" si="66"/>
        <v>03</v>
      </c>
      <c r="E228" t="str">
        <f t="shared" si="67"/>
        <v>640100</v>
      </c>
      <c r="F228" t="str">
        <f>"11/30/15"</f>
        <v>11/30/15</v>
      </c>
      <c r="G228" t="str">
        <f>"12647"</f>
        <v>12647</v>
      </c>
      <c r="H228" s="4">
        <v>0</v>
      </c>
      <c r="I228" s="3"/>
      <c r="J228" t="str">
        <f t="shared" si="68"/>
        <v>C &amp; K ELECTRIC CO INC</v>
      </c>
      <c r="K228" t="str">
        <f t="shared" si="77"/>
        <v>3428552</v>
      </c>
      <c r="L228" s="2" t="str">
        <f>"MPA-41 9/1/15-9/31/16 - ELECTRICAL JOURNEYMAN REGULAR/STRAIGHT TIME MONDAY-FRIDAY LOW-MEDIUM VOLTAGE SERVICES"</f>
        <v>MPA-41 9/1/15-9/31/16 - ELECTRICAL JOURNEYMAN REGULAR/STRAIGHT TIME MONDAY-FRIDAY LOW-MEDIUM VOLTAGE SERVICES</v>
      </c>
      <c r="M228" t="str">
        <f>"ROB@CKEL"</f>
        <v>ROB@CKEL</v>
      </c>
    </row>
    <row r="229" spans="1:13" ht="30" x14ac:dyDescent="0.25">
      <c r="A229" t="str">
        <f t="shared" si="63"/>
        <v>10</v>
      </c>
      <c r="B229" t="str">
        <f t="shared" si="64"/>
        <v>066</v>
      </c>
      <c r="C229" t="str">
        <f t="shared" si="65"/>
        <v>3010106</v>
      </c>
      <c r="D229" t="str">
        <f t="shared" si="66"/>
        <v>03</v>
      </c>
      <c r="E229" t="str">
        <f t="shared" si="67"/>
        <v>640100</v>
      </c>
      <c r="F229" t="str">
        <f>"11/30/15"</f>
        <v>11/30/15</v>
      </c>
      <c r="G229" t="str">
        <f>"12647"</f>
        <v>12647</v>
      </c>
      <c r="H229" s="4">
        <v>0</v>
      </c>
      <c r="I229" s="3"/>
      <c r="J229" t="str">
        <f t="shared" si="68"/>
        <v>C &amp; K ELECTRIC CO INC</v>
      </c>
      <c r="K229" t="str">
        <f t="shared" si="77"/>
        <v>3428552</v>
      </c>
      <c r="L229" s="2" t="str">
        <f>"MPA-41 9/1/15-9/31/16 - ELECTRICAL JOURNEYMAN REGULAR/STRAIGHT TIME MONDAY-FRIDAY LOW-MEDIUM VOLTAGE SERVICES"</f>
        <v>MPA-41 9/1/15-9/31/16 - ELECTRICAL JOURNEYMAN REGULAR/STRAIGHT TIME MONDAY-FRIDAY LOW-MEDIUM VOLTAGE SERVICES</v>
      </c>
      <c r="M229" t="str">
        <f>"SVALLANT"</f>
        <v>SVALLANT</v>
      </c>
    </row>
    <row r="230" spans="1:13" ht="30" x14ac:dyDescent="0.25">
      <c r="A230" t="str">
        <f t="shared" si="63"/>
        <v>10</v>
      </c>
      <c r="B230" t="str">
        <f t="shared" si="64"/>
        <v>066</v>
      </c>
      <c r="C230" t="str">
        <f t="shared" si="65"/>
        <v>3010106</v>
      </c>
      <c r="D230" t="str">
        <f t="shared" si="66"/>
        <v>03</v>
      </c>
      <c r="E230" t="str">
        <f t="shared" si="67"/>
        <v>640100</v>
      </c>
      <c r="F230" t="str">
        <f>"11/30/15"</f>
        <v>11/30/15</v>
      </c>
      <c r="G230" t="str">
        <f>"12660"</f>
        <v>12660</v>
      </c>
      <c r="H230" s="4">
        <v>751.5</v>
      </c>
      <c r="I230" s="3"/>
      <c r="J230" t="str">
        <f t="shared" si="68"/>
        <v>C &amp; K ELECTRIC CO INC</v>
      </c>
      <c r="K230" t="str">
        <f t="shared" si="77"/>
        <v>3428552</v>
      </c>
      <c r="L230" s="2" t="str">
        <f>"MPA-41 9/1/15-9/31/16 - ELECTRICAL JOURNEYMAN REGULAR/STRAIGHT TIME MONDAY-FRIDAY LOW-MEDIUM VOLTAGE SERVICES"</f>
        <v>MPA-41 9/1/15-9/31/16 - ELECTRICAL JOURNEYMAN REGULAR/STRAIGHT TIME MONDAY-FRIDAY LOW-MEDIUM VOLTAGE SERVICES</v>
      </c>
      <c r="M230" t="str">
        <f>"SVALLANT"</f>
        <v>SVALLANT</v>
      </c>
    </row>
    <row r="231" spans="1:13" ht="45" x14ac:dyDescent="0.25">
      <c r="A231" t="str">
        <f t="shared" si="63"/>
        <v>10</v>
      </c>
      <c r="B231" t="str">
        <f t="shared" si="64"/>
        <v>066</v>
      </c>
      <c r="C231" t="str">
        <f t="shared" si="65"/>
        <v>3010106</v>
      </c>
      <c r="D231" t="str">
        <f t="shared" si="66"/>
        <v>03</v>
      </c>
      <c r="E231" t="str">
        <f t="shared" si="67"/>
        <v>640100</v>
      </c>
      <c r="F231" t="str">
        <f>"11/30/16"</f>
        <v>11/30/16</v>
      </c>
      <c r="G231" t="str">
        <f>"13666"</f>
        <v>13666</v>
      </c>
      <c r="H231" s="4">
        <v>392.65</v>
      </c>
      <c r="I231" s="3"/>
      <c r="J231" t="str">
        <f t="shared" si="68"/>
        <v>C &amp; K ELECTRIC CO INC</v>
      </c>
      <c r="K231" t="str">
        <f>"3478302"</f>
        <v>3478302</v>
      </c>
      <c r="L231" s="2" t="str">
        <f>"MPA-41 FY17-18 - MATERIALS/PARTS:  THE OWNER SHALL BE ENTITLED TO ANY AND ALL MATERIAL OR TRADE DISCOUNTS OFF LIST PRICES THAT THE ELECTRICAL VENDOR RECEIVES.  MATERIAL QUOTES AND INVOICES S"</f>
        <v>MPA-41 FY17-18 - MATERIALS/PARTS:  THE OWNER SHALL BE ENTITLED TO ANY AND ALL MATERIAL OR TRADE DISCOUNTS OFF LIST PRICES THAT THE ELECTRICAL VENDOR RECEIVES.  MATERIAL QUOTES AND INVOICES S</v>
      </c>
      <c r="M231" t="str">
        <f>"SVALLANT"</f>
        <v>SVALLANT</v>
      </c>
    </row>
    <row r="232" spans="1:13" ht="30" x14ac:dyDescent="0.25">
      <c r="A232" t="str">
        <f t="shared" si="63"/>
        <v>10</v>
      </c>
      <c r="B232" t="str">
        <f t="shared" si="64"/>
        <v>066</v>
      </c>
      <c r="C232" t="str">
        <f t="shared" si="65"/>
        <v>3010106</v>
      </c>
      <c r="D232" t="str">
        <f t="shared" si="66"/>
        <v>03</v>
      </c>
      <c r="E232" t="str">
        <f t="shared" si="67"/>
        <v>640100</v>
      </c>
      <c r="F232" t="str">
        <f>"11/30/16"</f>
        <v>11/30/16</v>
      </c>
      <c r="G232" t="str">
        <f>"13666"</f>
        <v>13666</v>
      </c>
      <c r="H232" s="4">
        <v>513</v>
      </c>
      <c r="I232" s="3"/>
      <c r="J232" t="str">
        <f t="shared" si="68"/>
        <v>C &amp; K ELECTRIC CO INC</v>
      </c>
      <c r="K232" t="str">
        <f>"3478302"</f>
        <v>3478302</v>
      </c>
      <c r="L232" s="2" t="str">
        <f>"MPA-41 FY17-18 - MASTER ELECTRICIAN REGULAR/STRAIGHT TIME MONDAY - FRIDAY LOW-MEDIUM VOLTAGE SERVICES"</f>
        <v>MPA-41 FY17-18 - MASTER ELECTRICIAN REGULAR/STRAIGHT TIME MONDAY - FRIDAY LOW-MEDIUM VOLTAGE SERVICES</v>
      </c>
      <c r="M232" t="str">
        <f>"ROB@CKEL"</f>
        <v>ROB@CKEL</v>
      </c>
    </row>
    <row r="233" spans="1:13" ht="45" x14ac:dyDescent="0.25">
      <c r="A233" t="str">
        <f t="shared" si="63"/>
        <v>10</v>
      </c>
      <c r="B233" t="str">
        <f t="shared" si="64"/>
        <v>066</v>
      </c>
      <c r="C233" t="str">
        <f t="shared" si="65"/>
        <v>3010106</v>
      </c>
      <c r="D233" t="str">
        <f t="shared" si="66"/>
        <v>03</v>
      </c>
      <c r="E233" t="str">
        <f t="shared" si="67"/>
        <v>640100</v>
      </c>
      <c r="F233" t="str">
        <f>"11/30/16"</f>
        <v>11/30/16</v>
      </c>
      <c r="G233" t="str">
        <f>"13667"</f>
        <v>13667</v>
      </c>
      <c r="H233" s="4">
        <v>867</v>
      </c>
      <c r="I233" s="3"/>
      <c r="J233" t="str">
        <f t="shared" si="68"/>
        <v>C &amp; K ELECTRIC CO INC</v>
      </c>
      <c r="K233" t="str">
        <f>"3478302"</f>
        <v>3478302</v>
      </c>
      <c r="L233" s="2" t="str">
        <f>"MPA-41 FY17-18 - MATERIALS/PARTS:  THE OWNER SHALL BE ENTITLED TO ANY AND ALL MATERIAL OR TRADE DISCOUNTS OFF LIST PRICES THAT THE ELECTRICAL VENDOR RECEIVES.  MATERIAL QUOTES AND INVOICES S"</f>
        <v>MPA-41 FY17-18 - MATERIALS/PARTS:  THE OWNER SHALL BE ENTITLED TO ANY AND ALL MATERIAL OR TRADE DISCOUNTS OFF LIST PRICES THAT THE ELECTRICAL VENDOR RECEIVES.  MATERIAL QUOTES AND INVOICES S</v>
      </c>
      <c r="M233" t="str">
        <f>"ROB@CKEL"</f>
        <v>ROB@CKEL</v>
      </c>
    </row>
    <row r="234" spans="1:13" ht="30" x14ac:dyDescent="0.25">
      <c r="A234" t="str">
        <f t="shared" si="63"/>
        <v>10</v>
      </c>
      <c r="B234" t="str">
        <f t="shared" si="64"/>
        <v>066</v>
      </c>
      <c r="C234" t="str">
        <f t="shared" si="65"/>
        <v>3010106</v>
      </c>
      <c r="D234" t="str">
        <f t="shared" si="66"/>
        <v>03</v>
      </c>
      <c r="E234" t="str">
        <f t="shared" si="67"/>
        <v>640100</v>
      </c>
      <c r="F234" t="str">
        <f>"11/30/16"</f>
        <v>11/30/16</v>
      </c>
      <c r="G234" t="str">
        <f>"13667"</f>
        <v>13667</v>
      </c>
      <c r="H234" s="4">
        <v>684</v>
      </c>
      <c r="I234" s="3"/>
      <c r="J234" t="str">
        <f t="shared" si="68"/>
        <v>C &amp; K ELECTRIC CO INC</v>
      </c>
      <c r="K234" t="str">
        <f>"3478302"</f>
        <v>3478302</v>
      </c>
      <c r="L234" s="2" t="str">
        <f>"MPA-41 FY17-18 - MASTER ELECTRICIAN REGULAR/STRAIGHT TIME MONDAY - FRIDAY LOW-MEDIUM VOLTAGE SERVICES"</f>
        <v>MPA-41 FY17-18 - MASTER ELECTRICIAN REGULAR/STRAIGHT TIME MONDAY - FRIDAY LOW-MEDIUM VOLTAGE SERVICES</v>
      </c>
      <c r="M234" t="str">
        <f>"ROB@CKEL"</f>
        <v>ROB@CKEL</v>
      </c>
    </row>
    <row r="235" spans="1:13" ht="30" x14ac:dyDescent="0.25">
      <c r="A235" t="str">
        <f t="shared" si="63"/>
        <v>10</v>
      </c>
      <c r="B235" t="str">
        <f t="shared" si="64"/>
        <v>066</v>
      </c>
      <c r="C235" t="str">
        <f t="shared" si="65"/>
        <v>3010106</v>
      </c>
      <c r="D235" t="str">
        <f t="shared" si="66"/>
        <v>03</v>
      </c>
      <c r="E235" t="str">
        <f t="shared" si="67"/>
        <v>640100</v>
      </c>
      <c r="F235" t="str">
        <f>"11/30/16"</f>
        <v>11/30/16</v>
      </c>
      <c r="G235" t="str">
        <f>"13673"</f>
        <v>13673</v>
      </c>
      <c r="H235" s="3">
        <v>342</v>
      </c>
      <c r="I235" s="3"/>
      <c r="J235" t="str">
        <f t="shared" si="68"/>
        <v>C &amp; K ELECTRIC CO INC</v>
      </c>
      <c r="K235" t="str">
        <f>"3478302"</f>
        <v>3478302</v>
      </c>
      <c r="L235" s="2" t="str">
        <f>"MPA-41 FY17-18 - MASTER ELECTRICIAN REGULAR/STRAIGHT TIME MONDAY - FRIDAY LOW-MEDIUM VOLTAGE SERVICES"</f>
        <v>MPA-41 FY17-18 - MASTER ELECTRICIAN REGULAR/STRAIGHT TIME MONDAY - FRIDAY LOW-MEDIUM VOLTAGE SERVICES</v>
      </c>
      <c r="M235" t="str">
        <f>"ROB@CKEL"</f>
        <v>ROB@CKEL</v>
      </c>
    </row>
    <row r="236" spans="1:13" x14ac:dyDescent="0.25">
      <c r="H236" s="6">
        <f>SUM(H188:H235)</f>
        <v>36323.919999999998</v>
      </c>
      <c r="I236" s="6">
        <f>SUM(H188:H235)</f>
        <v>36323.919999999998</v>
      </c>
      <c r="L236" s="2"/>
      <c r="M236" t="str">
        <f>"ROB@CKEL"</f>
        <v>ROB@CKEL</v>
      </c>
    </row>
    <row r="237" spans="1:13" x14ac:dyDescent="0.25">
      <c r="H237" s="3"/>
      <c r="I237" s="3"/>
      <c r="L237" s="2"/>
    </row>
    <row r="238" spans="1:13" x14ac:dyDescent="0.25">
      <c r="A238" t="str">
        <f>"10"</f>
        <v>10</v>
      </c>
      <c r="B238" t="str">
        <f>"066"</f>
        <v>066</v>
      </c>
      <c r="C238" t="str">
        <f>"3010106"</f>
        <v>3010106</v>
      </c>
      <c r="D238" t="str">
        <f>"03"</f>
        <v>03</v>
      </c>
      <c r="E238" t="str">
        <f>"660010"</f>
        <v>660010</v>
      </c>
      <c r="F238" t="str">
        <f>"05/31/17"</f>
        <v>05/31/17</v>
      </c>
      <c r="G238" t="str">
        <f>"INV#1-GENERATOR REPLAC"</f>
        <v>INV#1-GENERATOR REPLAC</v>
      </c>
      <c r="H238" s="3">
        <v>60058.05</v>
      </c>
      <c r="I238" s="3"/>
      <c r="J238" t="str">
        <f>"CALSON CONSTRUCTION CORPORATION"</f>
        <v>CALSON CONSTRUCTION CORPORATION</v>
      </c>
      <c r="K238" t="str">
        <f>"3514372"</f>
        <v>3514372</v>
      </c>
      <c r="L238" s="2" t="str">
        <f>"GENERATIR FOR 180 SOUTH MAIN STREET"</f>
        <v>GENERATIR FOR 180 SOUTH MAIN STREET</v>
      </c>
    </row>
    <row r="239" spans="1:13" x14ac:dyDescent="0.25">
      <c r="A239" t="str">
        <f>"10"</f>
        <v>10</v>
      </c>
      <c r="B239" t="str">
        <f>"066"</f>
        <v>066</v>
      </c>
      <c r="C239" t="str">
        <f>"3010106"</f>
        <v>3010106</v>
      </c>
      <c r="D239" t="str">
        <f>"03"</f>
        <v>03</v>
      </c>
      <c r="E239" t="str">
        <f>"660010"</f>
        <v>660010</v>
      </c>
      <c r="F239" t="str">
        <f>"06/30/17"</f>
        <v>06/30/17</v>
      </c>
      <c r="G239" t="str">
        <f>"APPLICATION NO. 2"</f>
        <v>APPLICATION NO. 2</v>
      </c>
      <c r="H239" s="3">
        <v>103633.60000000001</v>
      </c>
      <c r="I239" s="3"/>
      <c r="J239" t="str">
        <f>"CALSON CONSTRUCTION CORPORATION"</f>
        <v>CALSON CONSTRUCTION CORPORATION</v>
      </c>
      <c r="K239" t="str">
        <f>"3514372"</f>
        <v>3514372</v>
      </c>
      <c r="L239" s="2" t="str">
        <f>"GENERATIR FOR 180 SOUTH MAIN STREET"</f>
        <v>GENERATIR FOR 180 SOUTH MAIN STREET</v>
      </c>
      <c r="M239" t="str">
        <f>"MFUSCO"</f>
        <v>MFUSCO</v>
      </c>
    </row>
    <row r="240" spans="1:13" x14ac:dyDescent="0.25">
      <c r="H240" s="6">
        <f>SUM(H238:H239)</f>
        <v>163691.65000000002</v>
      </c>
      <c r="I240" s="6">
        <f>SUM(H238:H239)</f>
        <v>163691.65000000002</v>
      </c>
      <c r="L240" s="2"/>
      <c r="M240" t="str">
        <f>"MFUSCO"</f>
        <v>MFUSCO</v>
      </c>
    </row>
    <row r="241" spans="1:13" x14ac:dyDescent="0.25">
      <c r="H241" s="3"/>
      <c r="I241" s="3"/>
      <c r="L241" s="2"/>
    </row>
    <row r="242" spans="1:13" ht="30" x14ac:dyDescent="0.25">
      <c r="A242" t="str">
        <f>"10"</f>
        <v>10</v>
      </c>
      <c r="B242" t="str">
        <f>"066"</f>
        <v>066</v>
      </c>
      <c r="C242" t="str">
        <f>"3010106"</f>
        <v>3010106</v>
      </c>
      <c r="D242" t="str">
        <f>"03"</f>
        <v>03</v>
      </c>
      <c r="E242" t="str">
        <f>"634100"</f>
        <v>634100</v>
      </c>
      <c r="F242" t="str">
        <f>"04/30/16"</f>
        <v>04/30/16</v>
      </c>
      <c r="G242" t="str">
        <f>"001"</f>
        <v>001</v>
      </c>
      <c r="H242" s="3">
        <v>8990</v>
      </c>
      <c r="I242" s="3"/>
      <c r="J242" t="str">
        <f>"CAPUTO &amp; WICK LTD"</f>
        <v>CAPUTO &amp; WICK LTD</v>
      </c>
      <c r="K242" t="str">
        <f>"3434869"</f>
        <v>3434869</v>
      </c>
      <c r="L242" s="2" t="str">
        <f>"CIVIL ENGINEERING SERVICES, SITE ASSESSMENT/GENERATOR LOCATION - 180 SOUTH MAIN STREET PROVIDENCE"</f>
        <v>CIVIL ENGINEERING SERVICES, SITE ASSESSMENT/GENERATOR LOCATION - 180 SOUTH MAIN STREET PROVIDENCE</v>
      </c>
    </row>
    <row r="243" spans="1:13" ht="30" x14ac:dyDescent="0.25">
      <c r="A243" t="str">
        <f>"10"</f>
        <v>10</v>
      </c>
      <c r="B243" t="str">
        <f>"066"</f>
        <v>066</v>
      </c>
      <c r="C243" t="str">
        <f>"3010106"</f>
        <v>3010106</v>
      </c>
      <c r="D243" t="str">
        <f>"03"</f>
        <v>03</v>
      </c>
      <c r="E243" t="str">
        <f>"634100"</f>
        <v>634100</v>
      </c>
      <c r="F243" t="str">
        <f>"12/31/16"</f>
        <v>12/31/16</v>
      </c>
      <c r="G243" t="str">
        <f>"002"</f>
        <v>002</v>
      </c>
      <c r="H243" s="3">
        <v>3179.3</v>
      </c>
      <c r="I243" s="3"/>
      <c r="J243" t="str">
        <f>"CAPUTO &amp; WICK LTD"</f>
        <v>CAPUTO &amp; WICK LTD</v>
      </c>
      <c r="K243" t="str">
        <f>"3481408"</f>
        <v>3481408</v>
      </c>
      <c r="L243" s="2" t="str">
        <f>"CIVIL ENGINEERING SERVICES, SITE ASSESSMENT/GENERATOR LOCATION - 180 SOUTH MAIN STREET PROVIDENCE"</f>
        <v>CIVIL ENGINEERING SERVICES, SITE ASSESSMENT/GENERATOR LOCATION - 180 SOUTH MAIN STREET PROVIDENCE</v>
      </c>
      <c r="M243" t="str">
        <f>"SVALLANT"</f>
        <v>SVALLANT</v>
      </c>
    </row>
    <row r="244" spans="1:13" x14ac:dyDescent="0.25">
      <c r="H244" s="6">
        <f>SUM(H242:H243)</f>
        <v>12169.3</v>
      </c>
      <c r="I244" s="6">
        <f>SUM(H242:H243)</f>
        <v>12169.3</v>
      </c>
      <c r="L244" s="2"/>
      <c r="M244" t="str">
        <f>"SVALLANT"</f>
        <v>SVALLANT</v>
      </c>
    </row>
    <row r="245" spans="1:13" x14ac:dyDescent="0.25">
      <c r="H245" s="3"/>
      <c r="I245" s="3"/>
      <c r="L245" s="2"/>
    </row>
    <row r="246" spans="1:13" ht="30" x14ac:dyDescent="0.25">
      <c r="A246" t="str">
        <f>"10"</f>
        <v>10</v>
      </c>
      <c r="B246" t="str">
        <f>"066"</f>
        <v>066</v>
      </c>
      <c r="C246" t="str">
        <f>"3010106"</f>
        <v>3010106</v>
      </c>
      <c r="D246" t="str">
        <f>"03"</f>
        <v>03</v>
      </c>
      <c r="E246" t="str">
        <f>"648100"</f>
        <v>648100</v>
      </c>
      <c r="F246" t="str">
        <f>"03/31/15"</f>
        <v>03/31/15</v>
      </c>
      <c r="G246" t="str">
        <f>"1333319288"</f>
        <v>1333319288</v>
      </c>
      <c r="H246" s="3">
        <v>5.71</v>
      </c>
      <c r="I246" s="3"/>
      <c r="J246" t="str">
        <f>"CENTURYLINK COMMUNICATIONS LLC"</f>
        <v>CENTURYLINK COMMUNICATIONS LLC</v>
      </c>
      <c r="K246" t="str">
        <f>""</f>
        <v/>
      </c>
      <c r="L246" s="2" t="str">
        <f>"ACCT: 86949524; INV: 1333319288 - MAR 2015 MONTHLY PAYMENT - 180 SOUTH MAIN STREET BUILDING"</f>
        <v>ACCT: 86949524; INV: 1333319288 - MAR 2015 MONTHLY PAYMENT - 180 SOUTH MAIN STREET BUILDING</v>
      </c>
    </row>
    <row r="247" spans="1:13" ht="30" x14ac:dyDescent="0.25">
      <c r="A247" t="str">
        <f>"10"</f>
        <v>10</v>
      </c>
      <c r="B247" t="str">
        <f>"066"</f>
        <v>066</v>
      </c>
      <c r="C247" t="str">
        <f>"3010106"</f>
        <v>3010106</v>
      </c>
      <c r="D247" t="str">
        <f>"03"</f>
        <v>03</v>
      </c>
      <c r="E247" t="str">
        <f>"648100"</f>
        <v>648100</v>
      </c>
      <c r="F247" t="str">
        <f>"05/31/15"</f>
        <v>05/31/15</v>
      </c>
      <c r="G247" t="str">
        <f>"1336390420"</f>
        <v>1336390420</v>
      </c>
      <c r="H247" s="3">
        <v>5.75</v>
      </c>
      <c r="I247" s="3"/>
      <c r="J247" t="str">
        <f>"CENTURYLINK COMMUNICATIONS LLC"</f>
        <v>CENTURYLINK COMMUNICATIONS LLC</v>
      </c>
      <c r="K247" t="str">
        <f>""</f>
        <v/>
      </c>
      <c r="L247" s="2" t="str">
        <f>"ACCT: 86949524; INV: 1336390420 - APR 2015 MONTHLY PAYMENT - 180 SOUTH MAIN STREET BUILDING"</f>
        <v>ACCT: 86949524; INV: 1336390420 - APR 2015 MONTHLY PAYMENT - 180 SOUTH MAIN STREET BUILDING</v>
      </c>
      <c r="M247" t="str">
        <f>"SVALLANT"</f>
        <v>SVALLANT</v>
      </c>
    </row>
    <row r="248" spans="1:13" ht="30" x14ac:dyDescent="0.25">
      <c r="A248" t="str">
        <f>"10"</f>
        <v>10</v>
      </c>
      <c r="B248" t="str">
        <f>"066"</f>
        <v>066</v>
      </c>
      <c r="C248" t="str">
        <f>"3010106"</f>
        <v>3010106</v>
      </c>
      <c r="D248" t="str">
        <f>"03"</f>
        <v>03</v>
      </c>
      <c r="E248" t="str">
        <f>"648100"</f>
        <v>648100</v>
      </c>
      <c r="F248" t="str">
        <f>"06/30/15"</f>
        <v>06/30/15</v>
      </c>
      <c r="G248" t="str">
        <f>"1566SXA0346"</f>
        <v>1566SXA0346</v>
      </c>
      <c r="H248" s="3">
        <v>5.75</v>
      </c>
      <c r="I248" s="3"/>
      <c r="J248" t="str">
        <f>"CENTURYLINK COMMUNICATIONS LLC"</f>
        <v>CENTURYLINK COMMUNICATIONS LLC</v>
      </c>
      <c r="K248" t="str">
        <f>""</f>
        <v/>
      </c>
      <c r="L248" s="2" t="str">
        <f>"ACCT: 86949524; INV: 1339507422 - MAY 2015 MONTHLY PAYMENT - 180 SOUTH MAIN STREET BUILDING"</f>
        <v>ACCT: 86949524; INV: 1339507422 - MAY 2015 MONTHLY PAYMENT - 180 SOUTH MAIN STREET BUILDING</v>
      </c>
      <c r="M248" t="str">
        <f>"SVALLANT"</f>
        <v>SVALLANT</v>
      </c>
    </row>
    <row r="249" spans="1:13" ht="30" x14ac:dyDescent="0.25">
      <c r="A249" t="str">
        <f>"10"</f>
        <v>10</v>
      </c>
      <c r="B249" t="str">
        <f>"066"</f>
        <v>066</v>
      </c>
      <c r="C249" t="str">
        <f>"3010106"</f>
        <v>3010106</v>
      </c>
      <c r="D249" t="str">
        <f>"03"</f>
        <v>03</v>
      </c>
      <c r="E249" t="str">
        <f>"648100"</f>
        <v>648100</v>
      </c>
      <c r="F249" t="str">
        <f>"07/31/15"</f>
        <v>07/31/15</v>
      </c>
      <c r="G249" t="str">
        <f>"1345593113-sxa"</f>
        <v>1345593113-sxa</v>
      </c>
      <c r="H249" s="3">
        <v>5.39</v>
      </c>
      <c r="I249" s="3"/>
      <c r="J249" t="str">
        <f>"CENTURYLINK COMMUNICATIONS LLC"</f>
        <v>CENTURYLINK COMMUNICATIONS LLC</v>
      </c>
      <c r="K249" t="str">
        <f>""</f>
        <v/>
      </c>
      <c r="L249" s="2" t="str">
        <f>"ACCT: 86949524; INV: 1345593113 - JUL 2015 MONTHLY PAYMENT FOR 180 SOUTH MAIN STREET BUILDING"</f>
        <v>ACCT: 86949524; INV: 1345593113 - JUL 2015 MONTHLY PAYMENT FOR 180 SOUTH MAIN STREET BUILDING</v>
      </c>
      <c r="M249" t="str">
        <f>"SVALLANT"</f>
        <v>SVALLANT</v>
      </c>
    </row>
    <row r="250" spans="1:13" x14ac:dyDescent="0.25">
      <c r="H250" s="6">
        <f>SUM(H246:H249)</f>
        <v>22.6</v>
      </c>
      <c r="I250" s="6">
        <f>SUM(H246:H249)</f>
        <v>22.6</v>
      </c>
      <c r="L250" s="2"/>
      <c r="M250" t="str">
        <f>"SVALLANT"</f>
        <v>SVALLANT</v>
      </c>
    </row>
    <row r="251" spans="1:13" x14ac:dyDescent="0.25">
      <c r="H251" s="3"/>
      <c r="I251" s="3"/>
      <c r="L251" s="2"/>
    </row>
    <row r="252" spans="1:13" x14ac:dyDescent="0.25">
      <c r="A252" t="str">
        <f>"10"</f>
        <v>10</v>
      </c>
      <c r="B252" t="str">
        <f>"066"</f>
        <v>066</v>
      </c>
      <c r="C252" t="str">
        <f>"3010106"</f>
        <v>3010106</v>
      </c>
      <c r="D252" t="str">
        <f>"03"</f>
        <v>03</v>
      </c>
      <c r="E252" t="str">
        <f>"640100"</f>
        <v>640100</v>
      </c>
      <c r="F252" t="str">
        <f>"10/31/14"</f>
        <v>10/31/14</v>
      </c>
      <c r="G252" t="str">
        <f>"91348"</f>
        <v>91348</v>
      </c>
      <c r="H252" s="6">
        <v>192</v>
      </c>
      <c r="I252" s="6">
        <f>SUM(H252)</f>
        <v>192</v>
      </c>
      <c r="J252" t="str">
        <f>"COLUMBUS DOOR COMPANY"</f>
        <v>COLUMBUS DOOR COMPANY</v>
      </c>
      <c r="K252" t="str">
        <f>"3398139"</f>
        <v>3398139</v>
      </c>
      <c r="L252" s="2" t="str">
        <f>"door repair"</f>
        <v>door repair</v>
      </c>
    </row>
    <row r="253" spans="1:13" x14ac:dyDescent="0.25">
      <c r="H253" s="3"/>
      <c r="I253" s="3"/>
      <c r="L253" s="2"/>
      <c r="M253" t="str">
        <f>"SVALLANT"</f>
        <v>SVALLANT</v>
      </c>
    </row>
    <row r="254" spans="1:13" x14ac:dyDescent="0.25">
      <c r="A254" t="str">
        <f>"10"</f>
        <v>10</v>
      </c>
      <c r="B254" t="str">
        <f>"066"</f>
        <v>066</v>
      </c>
      <c r="C254" t="str">
        <f>"3010106"</f>
        <v>3010106</v>
      </c>
      <c r="D254" t="str">
        <f>"03"</f>
        <v>03</v>
      </c>
      <c r="E254" t="str">
        <f>"643810"</f>
        <v>643810</v>
      </c>
      <c r="F254" t="str">
        <f>"02/28/14"</f>
        <v>02/28/14</v>
      </c>
      <c r="G254" t="str">
        <f>"3785787"</f>
        <v>3785787</v>
      </c>
      <c r="H254" s="6">
        <v>4896</v>
      </c>
      <c r="I254" s="6">
        <f>SUM(H254)</f>
        <v>4896</v>
      </c>
      <c r="J254" t="str">
        <f>"COMMONWEALTH LAND TITLE INSURANCE CO"</f>
        <v>COMMONWEALTH LAND TITLE INSURANCE CO</v>
      </c>
      <c r="K254" t="str">
        <f>"3361981"</f>
        <v>3361981</v>
      </c>
      <c r="L254" s="2" t="str">
        <f>"title policy and recording for 180 South Main Street"</f>
        <v>title policy and recording for 180 South Main Street</v>
      </c>
    </row>
    <row r="255" spans="1:13" x14ac:dyDescent="0.25">
      <c r="H255" s="3"/>
      <c r="I255" s="3"/>
      <c r="L255" s="2"/>
      <c r="M255" t="str">
        <f>"SVALLANT"</f>
        <v>SVALLANT</v>
      </c>
    </row>
    <row r="256" spans="1:13" x14ac:dyDescent="0.25">
      <c r="A256" t="str">
        <f t="shared" ref="A256:A282" si="78">"10"</f>
        <v>10</v>
      </c>
      <c r="B256" t="str">
        <f t="shared" ref="B256:B282" si="79">"066"</f>
        <v>066</v>
      </c>
      <c r="C256" t="str">
        <f t="shared" ref="C256:C282" si="80">"3010106"</f>
        <v>3010106</v>
      </c>
      <c r="D256" t="str">
        <f t="shared" ref="D256:D282" si="81">"03"</f>
        <v>03</v>
      </c>
      <c r="E256" t="str">
        <f t="shared" ref="E256:E282" si="82">"632150"</f>
        <v>632150</v>
      </c>
      <c r="F256" t="str">
        <f>"01/31/14"</f>
        <v>01/31/14</v>
      </c>
      <c r="G256" t="str">
        <f>"13-12-119ME"</f>
        <v>13-12-119ME</v>
      </c>
      <c r="H256" s="3">
        <v>6900</v>
      </c>
      <c r="I256" s="3"/>
      <c r="J256" t="str">
        <f t="shared" ref="J256:J282" si="83">"COMPUTER PROJECTS OF ILLINOIS  INC"</f>
        <v>COMPUTER PROJECTS OF ILLINOIS  INC</v>
      </c>
      <c r="K256" t="str">
        <f>"3325956"</f>
        <v>3325956</v>
      </c>
      <c r="L256" s="2" t="str">
        <f>"APA-12533 - 5/21/13-12/31/14 - STAFFING"</f>
        <v>APA-12533 - 5/21/13-12/31/14 - STAFFING</v>
      </c>
    </row>
    <row r="257" spans="1:13" x14ac:dyDescent="0.25">
      <c r="A257" t="str">
        <f t="shared" si="78"/>
        <v>10</v>
      </c>
      <c r="B257" t="str">
        <f t="shared" si="79"/>
        <v>066</v>
      </c>
      <c r="C257" t="str">
        <f t="shared" si="80"/>
        <v>3010106</v>
      </c>
      <c r="D257" t="str">
        <f t="shared" si="81"/>
        <v>03</v>
      </c>
      <c r="E257" t="str">
        <f t="shared" si="82"/>
        <v>632150</v>
      </c>
      <c r="F257" t="str">
        <f>"02/28/14"</f>
        <v>02/28/14</v>
      </c>
      <c r="G257" t="str">
        <f>"14-01-62ME"</f>
        <v>14-01-62ME</v>
      </c>
      <c r="H257" s="4">
        <v>6900</v>
      </c>
      <c r="I257" s="3"/>
      <c r="J257" t="str">
        <f t="shared" si="83"/>
        <v>COMPUTER PROJECTS OF ILLINOIS  INC</v>
      </c>
      <c r="K257" t="str">
        <f>"3325956"</f>
        <v>3325956</v>
      </c>
      <c r="L257" s="2" t="str">
        <f>"APA-12533 - 5/21/13-12/31/14 - STAFFING"</f>
        <v>APA-12533 - 5/21/13-12/31/14 - STAFFING</v>
      </c>
      <c r="M257" t="str">
        <f t="shared" ref="M257:M274" si="84">"SVALLANT"</f>
        <v>SVALLANT</v>
      </c>
    </row>
    <row r="258" spans="1:13" x14ac:dyDescent="0.25">
      <c r="A258" t="str">
        <f t="shared" si="78"/>
        <v>10</v>
      </c>
      <c r="B258" t="str">
        <f t="shared" si="79"/>
        <v>066</v>
      </c>
      <c r="C258" t="str">
        <f t="shared" si="80"/>
        <v>3010106</v>
      </c>
      <c r="D258" t="str">
        <f t="shared" si="81"/>
        <v>03</v>
      </c>
      <c r="E258" t="str">
        <f t="shared" si="82"/>
        <v>632150</v>
      </c>
      <c r="F258" t="str">
        <f>"03/31/14"</f>
        <v>03/31/14</v>
      </c>
      <c r="G258" t="str">
        <f>"14-02-149ME"</f>
        <v>14-02-149ME</v>
      </c>
      <c r="H258" s="4">
        <v>6900</v>
      </c>
      <c r="I258" s="3"/>
      <c r="J258" t="str">
        <f t="shared" si="83"/>
        <v>COMPUTER PROJECTS OF ILLINOIS  INC</v>
      </c>
      <c r="K258" t="str">
        <f>"3325956"</f>
        <v>3325956</v>
      </c>
      <c r="L258" s="2" t="str">
        <f>"APA-12533 - 5/21/13-12/31/14 - STAFFING"</f>
        <v>APA-12533 - 5/21/13-12/31/14 - STAFFING</v>
      </c>
      <c r="M258" t="str">
        <f t="shared" si="84"/>
        <v>SVALLANT</v>
      </c>
    </row>
    <row r="259" spans="1:13" ht="30" x14ac:dyDescent="0.25">
      <c r="A259" t="str">
        <f t="shared" si="78"/>
        <v>10</v>
      </c>
      <c r="B259" t="str">
        <f t="shared" si="79"/>
        <v>066</v>
      </c>
      <c r="C259" t="str">
        <f t="shared" si="80"/>
        <v>3010106</v>
      </c>
      <c r="D259" t="str">
        <f t="shared" si="81"/>
        <v>03</v>
      </c>
      <c r="E259" t="str">
        <f t="shared" si="82"/>
        <v>632150</v>
      </c>
      <c r="F259" t="str">
        <f>"03/31/17"</f>
        <v>03/31/17</v>
      </c>
      <c r="G259" t="str">
        <f>"17-02-139ME"</f>
        <v>17-02-139ME</v>
      </c>
      <c r="H259" s="4">
        <v>10000</v>
      </c>
      <c r="I259" s="3"/>
      <c r="J259" t="str">
        <f t="shared" si="83"/>
        <v>COMPUTER PROJECTS OF ILLINOIS  INC</v>
      </c>
      <c r="K259" t="str">
        <f>"3493767"</f>
        <v>3493767</v>
      </c>
      <c r="L259" s="2" t="str">
        <f>"APA-16699  FY17  RIAG PISTOL PERMIT PRINTING - RIAG-2016-002 - PRINTER JAVA CODE DEVELOPMENT."</f>
        <v>APA-16699  FY17  RIAG PISTOL PERMIT PRINTING - RIAG-2016-002 - PRINTER JAVA CODE DEVELOPMENT.</v>
      </c>
      <c r="M259" t="str">
        <f t="shared" si="84"/>
        <v>SVALLANT</v>
      </c>
    </row>
    <row r="260" spans="1:13" ht="30" x14ac:dyDescent="0.25">
      <c r="A260" t="str">
        <f t="shared" si="78"/>
        <v>10</v>
      </c>
      <c r="B260" t="str">
        <f t="shared" si="79"/>
        <v>066</v>
      </c>
      <c r="C260" t="str">
        <f t="shared" si="80"/>
        <v>3010106</v>
      </c>
      <c r="D260" t="str">
        <f t="shared" si="81"/>
        <v>03</v>
      </c>
      <c r="E260" t="str">
        <f t="shared" si="82"/>
        <v>632150</v>
      </c>
      <c r="F260" t="str">
        <f>"03/31/17"</f>
        <v>03/31/17</v>
      </c>
      <c r="G260" t="str">
        <f>"17-02-139ME"</f>
        <v>17-02-139ME</v>
      </c>
      <c r="H260" s="4">
        <v>3000</v>
      </c>
      <c r="I260" s="3"/>
      <c r="J260" t="str">
        <f t="shared" si="83"/>
        <v>COMPUTER PROJECTS OF ILLINOIS  INC</v>
      </c>
      <c r="K260" t="str">
        <f>"3493767"</f>
        <v>3493767</v>
      </c>
      <c r="L260" s="2" t="str">
        <f>"APA-16699  FY17  RIAG PISTOL PERMIT PRINTING - RIAG-2016-002 - SIGNATURE CARD CAPTURE."</f>
        <v>APA-16699  FY17  RIAG PISTOL PERMIT PRINTING - RIAG-2016-002 - SIGNATURE CARD CAPTURE.</v>
      </c>
      <c r="M260" t="str">
        <f t="shared" si="84"/>
        <v>SVALLANT</v>
      </c>
    </row>
    <row r="261" spans="1:13" ht="30" x14ac:dyDescent="0.25">
      <c r="A261" t="str">
        <f t="shared" si="78"/>
        <v>10</v>
      </c>
      <c r="B261" t="str">
        <f t="shared" si="79"/>
        <v>066</v>
      </c>
      <c r="C261" t="str">
        <f t="shared" si="80"/>
        <v>3010106</v>
      </c>
      <c r="D261" t="str">
        <f t="shared" si="81"/>
        <v>03</v>
      </c>
      <c r="E261" t="str">
        <f t="shared" si="82"/>
        <v>632150</v>
      </c>
      <c r="F261" t="str">
        <f>"03/31/17"</f>
        <v>03/31/17</v>
      </c>
      <c r="G261" t="str">
        <f>"17-02-139ME"</f>
        <v>17-02-139ME</v>
      </c>
      <c r="H261" s="4">
        <v>5600</v>
      </c>
      <c r="I261" s="3"/>
      <c r="J261" t="str">
        <f t="shared" si="83"/>
        <v>COMPUTER PROJECTS OF ILLINOIS  INC</v>
      </c>
      <c r="K261" t="str">
        <f>"3493767"</f>
        <v>3493767</v>
      </c>
      <c r="L261" s="2" t="str">
        <f>"APA-16699  FY17  RIAG PISTOL PERMIT PRINTING - RIAG-2016-002 - CAMERA CAPTURE AND DEVELOPMENT."</f>
        <v>APA-16699  FY17  RIAG PISTOL PERMIT PRINTING - RIAG-2016-002 - CAMERA CAPTURE AND DEVELOPMENT.</v>
      </c>
      <c r="M261" t="str">
        <f t="shared" si="84"/>
        <v>SVALLANT</v>
      </c>
    </row>
    <row r="262" spans="1:13" ht="30" x14ac:dyDescent="0.25">
      <c r="A262" t="str">
        <f t="shared" si="78"/>
        <v>10</v>
      </c>
      <c r="B262" t="str">
        <f t="shared" si="79"/>
        <v>066</v>
      </c>
      <c r="C262" t="str">
        <f t="shared" si="80"/>
        <v>3010106</v>
      </c>
      <c r="D262" t="str">
        <f t="shared" si="81"/>
        <v>03</v>
      </c>
      <c r="E262" t="str">
        <f t="shared" si="82"/>
        <v>632150</v>
      </c>
      <c r="F262" t="str">
        <f>"03/31/17"</f>
        <v>03/31/17</v>
      </c>
      <c r="G262" t="str">
        <f>"17-02-139ME"</f>
        <v>17-02-139ME</v>
      </c>
      <c r="H262" s="4">
        <v>48000</v>
      </c>
      <c r="I262" s="3"/>
      <c r="J262" t="str">
        <f t="shared" si="83"/>
        <v>COMPUTER PROJECTS OF ILLINOIS  INC</v>
      </c>
      <c r="K262" t="str">
        <f>"3493767"</f>
        <v>3493767</v>
      </c>
      <c r="L262" s="2" t="str">
        <f>"APA-16699  FY17  RIAG PISTOL PERMIT PRINTING - RIAG-2016-002 - CODE SCREEN DEVELOPMENT."</f>
        <v>APA-16699  FY17  RIAG PISTOL PERMIT PRINTING - RIAG-2016-002 - CODE SCREEN DEVELOPMENT.</v>
      </c>
      <c r="M262" t="str">
        <f t="shared" si="84"/>
        <v>SVALLANT</v>
      </c>
    </row>
    <row r="263" spans="1:13" x14ac:dyDescent="0.25">
      <c r="A263" t="str">
        <f t="shared" si="78"/>
        <v>10</v>
      </c>
      <c r="B263" t="str">
        <f t="shared" si="79"/>
        <v>066</v>
      </c>
      <c r="C263" t="str">
        <f t="shared" si="80"/>
        <v>3010106</v>
      </c>
      <c r="D263" t="str">
        <f t="shared" si="81"/>
        <v>03</v>
      </c>
      <c r="E263" t="str">
        <f t="shared" si="82"/>
        <v>632150</v>
      </c>
      <c r="F263" t="str">
        <f>"03/31/17"</f>
        <v>03/31/17</v>
      </c>
      <c r="G263" t="str">
        <f>"17-02-139ME"</f>
        <v>17-02-139ME</v>
      </c>
      <c r="H263" s="4">
        <v>5600</v>
      </c>
      <c r="I263" s="3"/>
      <c r="J263" t="str">
        <f t="shared" si="83"/>
        <v>COMPUTER PROJECTS OF ILLINOIS  INC</v>
      </c>
      <c r="K263" t="str">
        <f>"3493767"</f>
        <v>3493767</v>
      </c>
      <c r="L263" s="2" t="str">
        <f>"APA-16699  FY17  RIAG PISTOL PERMIT PRINTING - RIAG-2016-002 - FINGER PRINT CAPTURE."</f>
        <v>APA-16699  FY17  RIAG PISTOL PERMIT PRINTING - RIAG-2016-002 - FINGER PRINT CAPTURE.</v>
      </c>
      <c r="M263" t="str">
        <f t="shared" si="84"/>
        <v>SVALLANT</v>
      </c>
    </row>
    <row r="264" spans="1:13" x14ac:dyDescent="0.25">
      <c r="A264" t="str">
        <f t="shared" si="78"/>
        <v>10</v>
      </c>
      <c r="B264" t="str">
        <f t="shared" si="79"/>
        <v>066</v>
      </c>
      <c r="C264" t="str">
        <f t="shared" si="80"/>
        <v>3010106</v>
      </c>
      <c r="D264" t="str">
        <f t="shared" si="81"/>
        <v>03</v>
      </c>
      <c r="E264" t="str">
        <f t="shared" si="82"/>
        <v>632150</v>
      </c>
      <c r="F264" t="str">
        <f>"04/30/14"</f>
        <v>04/30/14</v>
      </c>
      <c r="G264" t="str">
        <f>"14-03-142ME"</f>
        <v>14-03-142ME</v>
      </c>
      <c r="H264" s="4">
        <v>6900</v>
      </c>
      <c r="I264" s="3"/>
      <c r="J264" t="str">
        <f t="shared" si="83"/>
        <v>COMPUTER PROJECTS OF ILLINOIS  INC</v>
      </c>
      <c r="K264" t="str">
        <f t="shared" ref="K264:K282" si="85">"3325956"</f>
        <v>3325956</v>
      </c>
      <c r="L264" s="2" t="str">
        <f t="shared" ref="L264:L269" si="86">"APA-12533 - 5/21/13-12/31/14 - STAFFING"</f>
        <v>APA-12533 - 5/21/13-12/31/14 - STAFFING</v>
      </c>
      <c r="M264" t="str">
        <f t="shared" si="84"/>
        <v>SVALLANT</v>
      </c>
    </row>
    <row r="265" spans="1:13" x14ac:dyDescent="0.25">
      <c r="A265" t="str">
        <f t="shared" si="78"/>
        <v>10</v>
      </c>
      <c r="B265" t="str">
        <f t="shared" si="79"/>
        <v>066</v>
      </c>
      <c r="C265" t="str">
        <f t="shared" si="80"/>
        <v>3010106</v>
      </c>
      <c r="D265" t="str">
        <f t="shared" si="81"/>
        <v>03</v>
      </c>
      <c r="E265" t="str">
        <f t="shared" si="82"/>
        <v>632150</v>
      </c>
      <c r="F265" t="str">
        <f>"05/31/14"</f>
        <v>05/31/14</v>
      </c>
      <c r="G265" t="str">
        <f>"14-04-140ME"</f>
        <v>14-04-140ME</v>
      </c>
      <c r="H265" s="4">
        <v>6900</v>
      </c>
      <c r="I265" s="3"/>
      <c r="J265" t="str">
        <f t="shared" si="83"/>
        <v>COMPUTER PROJECTS OF ILLINOIS  INC</v>
      </c>
      <c r="K265" t="str">
        <f t="shared" si="85"/>
        <v>3325956</v>
      </c>
      <c r="L265" s="2" t="str">
        <f t="shared" si="86"/>
        <v>APA-12533 - 5/21/13-12/31/14 - STAFFING</v>
      </c>
      <c r="M265" t="str">
        <f t="shared" si="84"/>
        <v>SVALLANT</v>
      </c>
    </row>
    <row r="266" spans="1:13" x14ac:dyDescent="0.25">
      <c r="A266" t="str">
        <f t="shared" si="78"/>
        <v>10</v>
      </c>
      <c r="B266" t="str">
        <f t="shared" si="79"/>
        <v>066</v>
      </c>
      <c r="C266" t="str">
        <f t="shared" si="80"/>
        <v>3010106</v>
      </c>
      <c r="D266" t="str">
        <f t="shared" si="81"/>
        <v>03</v>
      </c>
      <c r="E266" t="str">
        <f t="shared" si="82"/>
        <v>632150</v>
      </c>
      <c r="F266" t="str">
        <f>"06/30/14"</f>
        <v>06/30/14</v>
      </c>
      <c r="G266" t="str">
        <f>"14-05-129ME"</f>
        <v>14-05-129ME</v>
      </c>
      <c r="H266" s="4">
        <v>6900</v>
      </c>
      <c r="I266" s="3"/>
      <c r="J266" t="str">
        <f t="shared" si="83"/>
        <v>COMPUTER PROJECTS OF ILLINOIS  INC</v>
      </c>
      <c r="K266" t="str">
        <f t="shared" si="85"/>
        <v>3325956</v>
      </c>
      <c r="L266" s="2" t="str">
        <f t="shared" si="86"/>
        <v>APA-12533 - 5/21/13-12/31/14 - STAFFING</v>
      </c>
      <c r="M266" t="str">
        <f t="shared" si="84"/>
        <v>SVALLANT</v>
      </c>
    </row>
    <row r="267" spans="1:13" x14ac:dyDescent="0.25">
      <c r="A267" t="str">
        <f t="shared" si="78"/>
        <v>10</v>
      </c>
      <c r="B267" t="str">
        <f t="shared" si="79"/>
        <v>066</v>
      </c>
      <c r="C267" t="str">
        <f t="shared" si="80"/>
        <v>3010106</v>
      </c>
      <c r="D267" t="str">
        <f t="shared" si="81"/>
        <v>03</v>
      </c>
      <c r="E267" t="str">
        <f t="shared" si="82"/>
        <v>632150</v>
      </c>
      <c r="F267" t="str">
        <f>"06/30/14"</f>
        <v>06/30/14</v>
      </c>
      <c r="G267" t="str">
        <f>"14-06-89ME"</f>
        <v>14-06-89ME</v>
      </c>
      <c r="H267" s="4">
        <v>6900</v>
      </c>
      <c r="I267" s="3"/>
      <c r="J267" t="str">
        <f t="shared" si="83"/>
        <v>COMPUTER PROJECTS OF ILLINOIS  INC</v>
      </c>
      <c r="K267" t="str">
        <f t="shared" si="85"/>
        <v>3325956</v>
      </c>
      <c r="L267" s="2" t="str">
        <f t="shared" si="86"/>
        <v>APA-12533 - 5/21/13-12/31/14 - STAFFING</v>
      </c>
      <c r="M267" t="str">
        <f t="shared" si="84"/>
        <v>SVALLANT</v>
      </c>
    </row>
    <row r="268" spans="1:13" x14ac:dyDescent="0.25">
      <c r="A268" t="str">
        <f t="shared" si="78"/>
        <v>10</v>
      </c>
      <c r="B268" t="str">
        <f t="shared" si="79"/>
        <v>066</v>
      </c>
      <c r="C268" t="str">
        <f t="shared" si="80"/>
        <v>3010106</v>
      </c>
      <c r="D268" t="str">
        <f t="shared" si="81"/>
        <v>03</v>
      </c>
      <c r="E268" t="str">
        <f t="shared" si="82"/>
        <v>632150</v>
      </c>
      <c r="F268" t="str">
        <f>"08/31/13"</f>
        <v>08/31/13</v>
      </c>
      <c r="G268" t="str">
        <f>"13-07-119ME"</f>
        <v>13-07-119ME</v>
      </c>
      <c r="H268" s="4">
        <v>27600</v>
      </c>
      <c r="I268" s="3"/>
      <c r="J268" t="str">
        <f t="shared" si="83"/>
        <v>COMPUTER PROJECTS OF ILLINOIS  INC</v>
      </c>
      <c r="K268" t="str">
        <f t="shared" si="85"/>
        <v>3325956</v>
      </c>
      <c r="L268" s="2" t="str">
        <f t="shared" si="86"/>
        <v>APA-12533 - 5/21/13-12/31/14 - STAFFING</v>
      </c>
      <c r="M268" t="str">
        <f t="shared" si="84"/>
        <v>SVALLANT</v>
      </c>
    </row>
    <row r="269" spans="1:13" x14ac:dyDescent="0.25">
      <c r="A269" t="str">
        <f t="shared" si="78"/>
        <v>10</v>
      </c>
      <c r="B269" t="str">
        <f t="shared" si="79"/>
        <v>066</v>
      </c>
      <c r="C269" t="str">
        <f t="shared" si="80"/>
        <v>3010106</v>
      </c>
      <c r="D269" t="str">
        <f t="shared" si="81"/>
        <v>03</v>
      </c>
      <c r="E269" t="str">
        <f t="shared" si="82"/>
        <v>632150</v>
      </c>
      <c r="F269" t="str">
        <f>"08/31/14"</f>
        <v>08/31/14</v>
      </c>
      <c r="G269" t="str">
        <f>"14-07-101ME"</f>
        <v>14-07-101ME</v>
      </c>
      <c r="H269" s="4">
        <v>6900</v>
      </c>
      <c r="I269" s="3"/>
      <c r="J269" t="str">
        <f t="shared" si="83"/>
        <v>COMPUTER PROJECTS OF ILLINOIS  INC</v>
      </c>
      <c r="K269" t="str">
        <f t="shared" si="85"/>
        <v>3325956</v>
      </c>
      <c r="L269" s="2" t="str">
        <f t="shared" si="86"/>
        <v>APA-12533 - 5/21/13-12/31/14 - STAFFING</v>
      </c>
      <c r="M269" t="str">
        <f t="shared" si="84"/>
        <v>SVALLANT</v>
      </c>
    </row>
    <row r="270" spans="1:13" ht="30" x14ac:dyDescent="0.25">
      <c r="A270" t="str">
        <f t="shared" si="78"/>
        <v>10</v>
      </c>
      <c r="B270" t="str">
        <f t="shared" si="79"/>
        <v>066</v>
      </c>
      <c r="C270" t="str">
        <f t="shared" si="80"/>
        <v>3010106</v>
      </c>
      <c r="D270" t="str">
        <f t="shared" si="81"/>
        <v>03</v>
      </c>
      <c r="E270" t="str">
        <f t="shared" si="82"/>
        <v>632150</v>
      </c>
      <c r="F270" t="str">
        <f>"08/31/14"</f>
        <v>08/31/14</v>
      </c>
      <c r="G270" t="str">
        <f>"RIAG #3"</f>
        <v>RIAG #3</v>
      </c>
      <c r="H270" s="4">
        <v>340402.76</v>
      </c>
      <c r="I270" s="3"/>
      <c r="J270" t="str">
        <f t="shared" si="83"/>
        <v>COMPUTER PROJECTS OF ILLINOIS  INC</v>
      </c>
      <c r="K270" t="str">
        <f t="shared" si="85"/>
        <v>3325956</v>
      </c>
      <c r="L270" s="2" t="str">
        <f>"APA-12533 - 5/21/13-12/31/14 - MILESTONE 3 - SOFTWARE DELIVERED FOR TESTING - RI CRIMINAL HISTORY SYSTEM REPLACEMENT STATEMENT OF WORK - $340,402.76"</f>
        <v>APA-12533 - 5/21/13-12/31/14 - MILESTONE 3 - SOFTWARE DELIVERED FOR TESTING - RI CRIMINAL HISTORY SYSTEM REPLACEMENT STATEMENT OF WORK - $340,402.76</v>
      </c>
      <c r="M270" t="str">
        <f t="shared" si="84"/>
        <v>SVALLANT</v>
      </c>
    </row>
    <row r="271" spans="1:13" x14ac:dyDescent="0.25">
      <c r="A271" t="str">
        <f t="shared" si="78"/>
        <v>10</v>
      </c>
      <c r="B271" t="str">
        <f t="shared" si="79"/>
        <v>066</v>
      </c>
      <c r="C271" t="str">
        <f t="shared" si="80"/>
        <v>3010106</v>
      </c>
      <c r="D271" t="str">
        <f t="shared" si="81"/>
        <v>03</v>
      </c>
      <c r="E271" t="str">
        <f t="shared" si="82"/>
        <v>632150</v>
      </c>
      <c r="F271" t="str">
        <f>"09/30/14"</f>
        <v>09/30/14</v>
      </c>
      <c r="G271" t="str">
        <f>"14-08-167ME"</f>
        <v>14-08-167ME</v>
      </c>
      <c r="H271" s="4">
        <v>6900</v>
      </c>
      <c r="I271" s="3"/>
      <c r="J271" t="str">
        <f t="shared" si="83"/>
        <v>COMPUTER PROJECTS OF ILLINOIS  INC</v>
      </c>
      <c r="K271" t="str">
        <f t="shared" si="85"/>
        <v>3325956</v>
      </c>
      <c r="L271" s="2" t="str">
        <f>"APA-12533 - 5/21/13-12/31/14 - STAFFING"</f>
        <v>APA-12533 - 5/21/13-12/31/14 - STAFFING</v>
      </c>
      <c r="M271" t="str">
        <f t="shared" si="84"/>
        <v>SVALLANT</v>
      </c>
    </row>
    <row r="272" spans="1:13" x14ac:dyDescent="0.25">
      <c r="A272" t="str">
        <f t="shared" si="78"/>
        <v>10</v>
      </c>
      <c r="B272" t="str">
        <f t="shared" si="79"/>
        <v>066</v>
      </c>
      <c r="C272" t="str">
        <f t="shared" si="80"/>
        <v>3010106</v>
      </c>
      <c r="D272" t="str">
        <f t="shared" si="81"/>
        <v>03</v>
      </c>
      <c r="E272" t="str">
        <f t="shared" si="82"/>
        <v>632150</v>
      </c>
      <c r="F272" t="str">
        <f>"10/31/13"</f>
        <v>10/31/13</v>
      </c>
      <c r="G272" t="str">
        <f>"13-09-130ME"</f>
        <v>13-09-130ME</v>
      </c>
      <c r="H272" s="4">
        <v>6900</v>
      </c>
      <c r="I272" s="3"/>
      <c r="J272" t="str">
        <f t="shared" si="83"/>
        <v>COMPUTER PROJECTS OF ILLINOIS  INC</v>
      </c>
      <c r="K272" t="str">
        <f t="shared" si="85"/>
        <v>3325956</v>
      </c>
      <c r="L272" s="2" t="str">
        <f>"APA-12533 - 5/21/13-12/31/14 - STAFFING"</f>
        <v>APA-12533 - 5/21/13-12/31/14 - STAFFING</v>
      </c>
      <c r="M272" t="str">
        <f t="shared" si="84"/>
        <v>SVALLANT</v>
      </c>
    </row>
    <row r="273" spans="1:13" x14ac:dyDescent="0.25">
      <c r="A273" t="str">
        <f t="shared" si="78"/>
        <v>10</v>
      </c>
      <c r="B273" t="str">
        <f t="shared" si="79"/>
        <v>066</v>
      </c>
      <c r="C273" t="str">
        <f t="shared" si="80"/>
        <v>3010106</v>
      </c>
      <c r="D273" t="str">
        <f t="shared" si="81"/>
        <v>03</v>
      </c>
      <c r="E273" t="str">
        <f t="shared" si="82"/>
        <v>632150</v>
      </c>
      <c r="F273" t="str">
        <f>"10/31/14"</f>
        <v>10/31/14</v>
      </c>
      <c r="G273" t="str">
        <f>"14-09-77ME"</f>
        <v>14-09-77ME</v>
      </c>
      <c r="H273" s="4">
        <v>6900</v>
      </c>
      <c r="I273" s="3"/>
      <c r="J273" t="str">
        <f t="shared" si="83"/>
        <v>COMPUTER PROJECTS OF ILLINOIS  INC</v>
      </c>
      <c r="K273" t="str">
        <f t="shared" si="85"/>
        <v>3325956</v>
      </c>
      <c r="L273" s="2" t="str">
        <f>"APA-12533 - 5/21/13-12/31/14 - STAFFING"</f>
        <v>APA-12533 - 5/21/13-12/31/14 - STAFFING</v>
      </c>
      <c r="M273" t="str">
        <f t="shared" si="84"/>
        <v>SVALLANT</v>
      </c>
    </row>
    <row r="274" spans="1:13" ht="30" x14ac:dyDescent="0.25">
      <c r="A274" t="str">
        <f t="shared" si="78"/>
        <v>10</v>
      </c>
      <c r="B274" t="str">
        <f t="shared" si="79"/>
        <v>066</v>
      </c>
      <c r="C274" t="str">
        <f t="shared" si="80"/>
        <v>3010106</v>
      </c>
      <c r="D274" t="str">
        <f t="shared" si="81"/>
        <v>03</v>
      </c>
      <c r="E274" t="str">
        <f t="shared" si="82"/>
        <v>632150</v>
      </c>
      <c r="F274" t="str">
        <f>"10/31/15"</f>
        <v>10/31/15</v>
      </c>
      <c r="G274" t="str">
        <f>"RIAG#4A"</f>
        <v>RIAG#4A</v>
      </c>
      <c r="H274" s="4">
        <v>85100.69</v>
      </c>
      <c r="I274" s="3"/>
      <c r="J274" t="str">
        <f t="shared" si="83"/>
        <v>COMPUTER PROJECTS OF ILLINOIS  INC</v>
      </c>
      <c r="K274" t="str">
        <f t="shared" si="85"/>
        <v>3325956</v>
      </c>
      <c r="L274" s="2" t="str">
        <f>"APA-12533 FY15-FY16 - MILESTONE 4 - CUTOVER TO PRODUCTION - RI CRIMINAL HISTORY SYSTEM REPLACEMENT STATEMENT OF WORK - $340,402.76"</f>
        <v>APA-12533 FY15-FY16 - MILESTONE 4 - CUTOVER TO PRODUCTION - RI CRIMINAL HISTORY SYSTEM REPLACEMENT STATEMENT OF WORK - $340,402.76</v>
      </c>
      <c r="M274" t="str">
        <f t="shared" si="84"/>
        <v>SVALLANT</v>
      </c>
    </row>
    <row r="275" spans="1:13" x14ac:dyDescent="0.25">
      <c r="A275" t="str">
        <f t="shared" si="78"/>
        <v>10</v>
      </c>
      <c r="B275" t="str">
        <f t="shared" si="79"/>
        <v>066</v>
      </c>
      <c r="C275" t="str">
        <f t="shared" si="80"/>
        <v>3010106</v>
      </c>
      <c r="D275" t="str">
        <f t="shared" si="81"/>
        <v>03</v>
      </c>
      <c r="E275" t="str">
        <f t="shared" si="82"/>
        <v>632150</v>
      </c>
      <c r="F275" t="str">
        <f>"10/31/15"</f>
        <v>10/31/15</v>
      </c>
      <c r="G275" t="str">
        <f>"RIAG#4A"</f>
        <v>RIAG#4A</v>
      </c>
      <c r="H275" s="4">
        <v>75900</v>
      </c>
      <c r="I275" s="3"/>
      <c r="J275" t="str">
        <f t="shared" si="83"/>
        <v>COMPUTER PROJECTS OF ILLINOIS  INC</v>
      </c>
      <c r="K275" t="str">
        <f t="shared" si="85"/>
        <v>3325956</v>
      </c>
      <c r="L275" s="2" t="str">
        <f>"APA-12533 FY15-FY16 - STAFFING"</f>
        <v>APA-12533 FY15-FY16 - STAFFING</v>
      </c>
      <c r="M275" t="str">
        <f>"MFUSCO"</f>
        <v>MFUSCO</v>
      </c>
    </row>
    <row r="276" spans="1:13" x14ac:dyDescent="0.25">
      <c r="A276" t="str">
        <f t="shared" si="78"/>
        <v>10</v>
      </c>
      <c r="B276" t="str">
        <f t="shared" si="79"/>
        <v>066</v>
      </c>
      <c r="C276" t="str">
        <f t="shared" si="80"/>
        <v>3010106</v>
      </c>
      <c r="D276" t="str">
        <f t="shared" si="81"/>
        <v>03</v>
      </c>
      <c r="E276" t="str">
        <f t="shared" si="82"/>
        <v>632150</v>
      </c>
      <c r="F276" t="str">
        <f>"11/30/13"</f>
        <v>11/30/13</v>
      </c>
      <c r="G276" t="str">
        <f>"13-10-182M"</f>
        <v>13-10-182M</v>
      </c>
      <c r="H276" s="4">
        <v>6900</v>
      </c>
      <c r="I276" s="3"/>
      <c r="J276" t="str">
        <f t="shared" si="83"/>
        <v>COMPUTER PROJECTS OF ILLINOIS  INC</v>
      </c>
      <c r="K276" t="str">
        <f t="shared" si="85"/>
        <v>3325956</v>
      </c>
      <c r="L276" s="2" t="str">
        <f>"APA-12533 - 5/21/13-12/31/14 - STAFFING"</f>
        <v>APA-12533 - 5/21/13-12/31/14 - STAFFING</v>
      </c>
      <c r="M276" t="str">
        <f>"MFUSCO"</f>
        <v>MFUSCO</v>
      </c>
    </row>
    <row r="277" spans="1:13" ht="30" x14ac:dyDescent="0.25">
      <c r="A277" t="str">
        <f t="shared" si="78"/>
        <v>10</v>
      </c>
      <c r="B277" t="str">
        <f t="shared" si="79"/>
        <v>066</v>
      </c>
      <c r="C277" t="str">
        <f t="shared" si="80"/>
        <v>3010106</v>
      </c>
      <c r="D277" t="str">
        <f t="shared" si="81"/>
        <v>03</v>
      </c>
      <c r="E277" t="str">
        <f t="shared" si="82"/>
        <v>632150</v>
      </c>
      <c r="F277" t="str">
        <f>"11/30/15"</f>
        <v>11/30/15</v>
      </c>
      <c r="G277" t="str">
        <f>"RIAG #5"</f>
        <v>RIAG #5</v>
      </c>
      <c r="H277" s="4">
        <v>340402.76</v>
      </c>
      <c r="I277" s="3"/>
      <c r="J277" t="str">
        <f t="shared" si="83"/>
        <v>COMPUTER PROJECTS OF ILLINOIS  INC</v>
      </c>
      <c r="K277" t="str">
        <f t="shared" si="85"/>
        <v>3325956</v>
      </c>
      <c r="L277" s="2" t="str">
        <f>"APA-12533 FY15-FY16 - MILESTONE 5 - SYSTEM ACCEPTANCE - RI CRIMINAL HISTORY SYSTEM REPLACEMENT STATEMENT OF WORK - $340,402.76"</f>
        <v>APA-12533 FY15-FY16 - MILESTONE 5 - SYSTEM ACCEPTANCE - RI CRIMINAL HISTORY SYSTEM REPLACEMENT STATEMENT OF WORK - $340,402.76</v>
      </c>
      <c r="M277" t="str">
        <f t="shared" ref="M277:M283" si="87">"SVALLANT"</f>
        <v>SVALLANT</v>
      </c>
    </row>
    <row r="278" spans="1:13" x14ac:dyDescent="0.25">
      <c r="A278" t="str">
        <f t="shared" si="78"/>
        <v>10</v>
      </c>
      <c r="B278" t="str">
        <f t="shared" si="79"/>
        <v>066</v>
      </c>
      <c r="C278" t="str">
        <f t="shared" si="80"/>
        <v>3010106</v>
      </c>
      <c r="D278" t="str">
        <f t="shared" si="81"/>
        <v>03</v>
      </c>
      <c r="E278" t="str">
        <f t="shared" si="82"/>
        <v>632150</v>
      </c>
      <c r="F278" t="str">
        <f>"12/31/13"</f>
        <v>12/31/13</v>
      </c>
      <c r="G278" t="str">
        <f>"13-11-200ME"</f>
        <v>13-11-200ME</v>
      </c>
      <c r="H278" s="4">
        <v>6900</v>
      </c>
      <c r="I278" s="3"/>
      <c r="J278" t="str">
        <f t="shared" si="83"/>
        <v>COMPUTER PROJECTS OF ILLINOIS  INC</v>
      </c>
      <c r="K278" t="str">
        <f t="shared" si="85"/>
        <v>3325956</v>
      </c>
      <c r="L278" s="2" t="str">
        <f>"APA-12533 - 5/21/13-12/31/14 - STAFFING"</f>
        <v>APA-12533 - 5/21/13-12/31/14 - STAFFING</v>
      </c>
      <c r="M278" t="str">
        <f t="shared" si="87"/>
        <v>SVALLANT</v>
      </c>
    </row>
    <row r="279" spans="1:13" ht="30" x14ac:dyDescent="0.25">
      <c r="A279" t="str">
        <f t="shared" si="78"/>
        <v>10</v>
      </c>
      <c r="B279" t="str">
        <f t="shared" si="79"/>
        <v>066</v>
      </c>
      <c r="C279" t="str">
        <f t="shared" si="80"/>
        <v>3010106</v>
      </c>
      <c r="D279" t="str">
        <f t="shared" si="81"/>
        <v>03</v>
      </c>
      <c r="E279" t="str">
        <f t="shared" si="82"/>
        <v>632150</v>
      </c>
      <c r="F279" t="str">
        <f>"12/31/13"</f>
        <v>12/31/13</v>
      </c>
      <c r="G279" t="str">
        <f>"RIAG #1"</f>
        <v>RIAG #1</v>
      </c>
      <c r="H279" s="4">
        <v>340402.76</v>
      </c>
      <c r="I279" s="3"/>
      <c r="J279" t="str">
        <f t="shared" si="83"/>
        <v>COMPUTER PROJECTS OF ILLINOIS  INC</v>
      </c>
      <c r="K279" t="str">
        <f t="shared" si="85"/>
        <v>3325956</v>
      </c>
      <c r="L279" s="2" t="str">
        <f>"APA-12533 - 5/21/13-12/31/14 - MILESTONE 1 - DESIGN SPECIFICATION DELIVERED - RI CRIMINAL HISTORY SYSTEM REPLACEMENT STATEMENT OF WORK - $340,402.76"</f>
        <v>APA-12533 - 5/21/13-12/31/14 - MILESTONE 1 - DESIGN SPECIFICATION DELIVERED - RI CRIMINAL HISTORY SYSTEM REPLACEMENT STATEMENT OF WORK - $340,402.76</v>
      </c>
      <c r="M279" t="str">
        <f t="shared" si="87"/>
        <v>SVALLANT</v>
      </c>
    </row>
    <row r="280" spans="1:13" ht="30" x14ac:dyDescent="0.25">
      <c r="A280" t="str">
        <f t="shared" si="78"/>
        <v>10</v>
      </c>
      <c r="B280" t="str">
        <f t="shared" si="79"/>
        <v>066</v>
      </c>
      <c r="C280" t="str">
        <f t="shared" si="80"/>
        <v>3010106</v>
      </c>
      <c r="D280" t="str">
        <f t="shared" si="81"/>
        <v>03</v>
      </c>
      <c r="E280" t="str">
        <f t="shared" si="82"/>
        <v>632150</v>
      </c>
      <c r="F280" t="str">
        <f>"12/31/13"</f>
        <v>12/31/13</v>
      </c>
      <c r="G280" t="str">
        <f>"RIAG #2"</f>
        <v>RIAG #2</v>
      </c>
      <c r="H280" s="4">
        <v>340402.76</v>
      </c>
      <c r="I280" s="3"/>
      <c r="J280" t="str">
        <f t="shared" si="83"/>
        <v>COMPUTER PROJECTS OF ILLINOIS  INC</v>
      </c>
      <c r="K280" t="str">
        <f t="shared" si="85"/>
        <v>3325956</v>
      </c>
      <c r="L280" s="2" t="str">
        <f>"APA-12533 - 5/21/13-12/31/14 - MILESTONE 2 - HARDWARE DELIVERED - RI CRIMINAL HISTORY SYSTEM REPLACEMENT STATEMENT OF WORK - $340,402.76"</f>
        <v>APA-12533 - 5/21/13-12/31/14 - MILESTONE 2 - HARDWARE DELIVERED - RI CRIMINAL HISTORY SYSTEM REPLACEMENT STATEMENT OF WORK - $340,402.76</v>
      </c>
      <c r="M280" t="str">
        <f t="shared" si="87"/>
        <v>SVALLANT</v>
      </c>
    </row>
    <row r="281" spans="1:13" x14ac:dyDescent="0.25">
      <c r="A281" t="str">
        <f t="shared" si="78"/>
        <v>10</v>
      </c>
      <c r="B281" t="str">
        <f t="shared" si="79"/>
        <v>066</v>
      </c>
      <c r="C281" t="str">
        <f t="shared" si="80"/>
        <v>3010106</v>
      </c>
      <c r="D281" t="str">
        <f t="shared" si="81"/>
        <v>03</v>
      </c>
      <c r="E281" t="str">
        <f t="shared" si="82"/>
        <v>632150</v>
      </c>
      <c r="F281" t="str">
        <f>"12/31/14"</f>
        <v>12/31/14</v>
      </c>
      <c r="G281" t="str">
        <f>"14-11-62M"</f>
        <v>14-11-62M</v>
      </c>
      <c r="H281" s="4">
        <v>6900</v>
      </c>
      <c r="I281" s="3"/>
      <c r="J281" t="str">
        <f t="shared" si="83"/>
        <v>COMPUTER PROJECTS OF ILLINOIS  INC</v>
      </c>
      <c r="K281" t="str">
        <f t="shared" si="85"/>
        <v>3325956</v>
      </c>
      <c r="L281" s="2" t="str">
        <f>"APA-12533 - 5/21/13-12/31/14 - STAFFING"</f>
        <v>APA-12533 - 5/21/13-12/31/14 - STAFFING</v>
      </c>
      <c r="M281" t="str">
        <f t="shared" si="87"/>
        <v>SVALLANT</v>
      </c>
    </row>
    <row r="282" spans="1:13" ht="30" x14ac:dyDescent="0.25">
      <c r="A282" t="str">
        <f t="shared" si="78"/>
        <v>10</v>
      </c>
      <c r="B282" t="str">
        <f t="shared" si="79"/>
        <v>066</v>
      </c>
      <c r="C282" t="str">
        <f t="shared" si="80"/>
        <v>3010106</v>
      </c>
      <c r="D282" t="str">
        <f t="shared" si="81"/>
        <v>03</v>
      </c>
      <c r="E282" t="str">
        <f t="shared" si="82"/>
        <v>632150</v>
      </c>
      <c r="F282" t="str">
        <f>"12/31/14"</f>
        <v>12/31/14</v>
      </c>
      <c r="G282" t="str">
        <f>"RIAG #4"</f>
        <v>RIAG #4</v>
      </c>
      <c r="H282" s="4">
        <v>255302.07</v>
      </c>
      <c r="I282" s="3"/>
      <c r="J282" t="str">
        <f t="shared" si="83"/>
        <v>COMPUTER PROJECTS OF ILLINOIS  INC</v>
      </c>
      <c r="K282" t="str">
        <f t="shared" si="85"/>
        <v>3325956</v>
      </c>
      <c r="L282" s="2" t="str">
        <f>"APA-12533 - 5/21/13-12/31/14 - MILESTONE 4 - CUTOVER TO PRODUCTION - RI CRIMINAL HISTORY SYSTEM REPLACEMENT STATEMENT OF WORK - $340,402.76"</f>
        <v>APA-12533 - 5/21/13-12/31/14 - MILESTONE 4 - CUTOVER TO PRODUCTION - RI CRIMINAL HISTORY SYSTEM REPLACEMENT STATEMENT OF WORK - $340,402.76</v>
      </c>
      <c r="M282" t="str">
        <f t="shared" si="87"/>
        <v>SVALLANT</v>
      </c>
    </row>
    <row r="283" spans="1:13" x14ac:dyDescent="0.25">
      <c r="H283" s="6">
        <f>SUM(H256:H282)</f>
        <v>1974313.8</v>
      </c>
      <c r="I283" s="6">
        <f>SUM(H256:H282)</f>
        <v>1974313.8</v>
      </c>
      <c r="L283" s="2"/>
      <c r="M283" t="str">
        <f t="shared" si="87"/>
        <v>SVALLANT</v>
      </c>
    </row>
    <row r="284" spans="1:13" x14ac:dyDescent="0.25">
      <c r="H284" s="3"/>
      <c r="I284" s="3"/>
      <c r="L284" s="2"/>
    </row>
    <row r="285" spans="1:13" x14ac:dyDescent="0.25">
      <c r="A285" t="str">
        <f t="shared" ref="A285:A293" si="88">"10"</f>
        <v>10</v>
      </c>
      <c r="B285" t="str">
        <f t="shared" ref="B285:B293" si="89">"066"</f>
        <v>066</v>
      </c>
      <c r="C285" t="str">
        <f t="shared" ref="C285:C293" si="90">"3010106"</f>
        <v>3010106</v>
      </c>
      <c r="D285" t="str">
        <f t="shared" ref="D285:D293" si="91">"03"</f>
        <v>03</v>
      </c>
      <c r="E285" t="str">
        <f t="shared" ref="E285:E293" si="92">"634100"</f>
        <v>634100</v>
      </c>
      <c r="F285" t="str">
        <f>"02/28/15"</f>
        <v>02/28/15</v>
      </c>
      <c r="G285" t="str">
        <f>"10205"</f>
        <v>10205</v>
      </c>
      <c r="H285" s="3">
        <v>3500</v>
      </c>
      <c r="I285" s="3"/>
      <c r="J285" t="str">
        <f t="shared" ref="J285:J293" si="93">"CREATIVE ENVIRONMENT CORP"</f>
        <v>CREATIVE ENVIRONMENT CORP</v>
      </c>
      <c r="K285" t="str">
        <f>"3409834"</f>
        <v>3409834</v>
      </c>
      <c r="L285" s="2" t="str">
        <f>"GENERATOR STUDY AT 150 AND 180 SOUTH MAIN STREET, PROVIDENCE RI 02903"</f>
        <v>GENERATOR STUDY AT 150 AND 180 SOUTH MAIN STREET, PROVIDENCE RI 02903</v>
      </c>
    </row>
    <row r="286" spans="1:13" ht="30" x14ac:dyDescent="0.25">
      <c r="A286" t="str">
        <f t="shared" si="88"/>
        <v>10</v>
      </c>
      <c r="B286" t="str">
        <f t="shared" si="89"/>
        <v>066</v>
      </c>
      <c r="C286" t="str">
        <f t="shared" si="90"/>
        <v>3010106</v>
      </c>
      <c r="D286" t="str">
        <f t="shared" si="91"/>
        <v>03</v>
      </c>
      <c r="E286" t="str">
        <f t="shared" si="92"/>
        <v>634100</v>
      </c>
      <c r="F286" t="str">
        <f>"06/30/15"</f>
        <v>06/30/15</v>
      </c>
      <c r="G286" t="str">
        <f>"10312"</f>
        <v>10312</v>
      </c>
      <c r="H286" s="3">
        <v>172</v>
      </c>
      <c r="I286" s="3"/>
      <c r="J286" t="str">
        <f t="shared" si="93"/>
        <v>CREATIVE ENVIRONMENT CORP</v>
      </c>
      <c r="K286" t="str">
        <f>"3385261"</f>
        <v>3385261</v>
      </c>
      <c r="L286" s="2" t="str">
        <f>"EVALUATE HVAC SYSTEM AT 180 SOUTH MAIN STREET/DEVELOP SPECIFICATIONS FOR COMPUTER ROOM AIR CONDITIONING"</f>
        <v>EVALUATE HVAC SYSTEM AT 180 SOUTH MAIN STREET/DEVELOP SPECIFICATIONS FOR COMPUTER ROOM AIR CONDITIONING</v>
      </c>
      <c r="M286" t="str">
        <f t="shared" ref="M286:M294" si="94">"SVALLANT"</f>
        <v>SVALLANT</v>
      </c>
    </row>
    <row r="287" spans="1:13" ht="30" x14ac:dyDescent="0.25">
      <c r="A287" t="str">
        <f t="shared" si="88"/>
        <v>10</v>
      </c>
      <c r="B287" t="str">
        <f t="shared" si="89"/>
        <v>066</v>
      </c>
      <c r="C287" t="str">
        <f t="shared" si="90"/>
        <v>3010106</v>
      </c>
      <c r="D287" t="str">
        <f t="shared" si="91"/>
        <v>03</v>
      </c>
      <c r="E287" t="str">
        <f t="shared" si="92"/>
        <v>634100</v>
      </c>
      <c r="F287" t="str">
        <f>"06/30/16"</f>
        <v>06/30/16</v>
      </c>
      <c r="G287" t="str">
        <f>"10628"</f>
        <v>10628</v>
      </c>
      <c r="H287" s="3">
        <v>800</v>
      </c>
      <c r="I287" s="3"/>
      <c r="J287" t="str">
        <f t="shared" si="93"/>
        <v>CREATIVE ENVIRONMENT CORP</v>
      </c>
      <c r="K287" t="str">
        <f>"3433586"</f>
        <v>3433586</v>
      </c>
      <c r="L287" s="2" t="str">
        <f>"EVALUATE HVAC SYSTEM AT 180 SOUTH MAIN STREET/DEVELOP SPECIFICATIONS FOR COMPUTER ROOM AIR CONDITIONING - ADDITIONAL SERVICES"</f>
        <v>EVALUATE HVAC SYSTEM AT 180 SOUTH MAIN STREET/DEVELOP SPECIFICATIONS FOR COMPUTER ROOM AIR CONDITIONING - ADDITIONAL SERVICES</v>
      </c>
      <c r="M287" t="str">
        <f t="shared" si="94"/>
        <v>SVALLANT</v>
      </c>
    </row>
    <row r="288" spans="1:13" x14ac:dyDescent="0.25">
      <c r="A288" t="str">
        <f t="shared" si="88"/>
        <v>10</v>
      </c>
      <c r="B288" t="str">
        <f t="shared" si="89"/>
        <v>066</v>
      </c>
      <c r="C288" t="str">
        <f t="shared" si="90"/>
        <v>3010106</v>
      </c>
      <c r="D288" t="str">
        <f t="shared" si="91"/>
        <v>03</v>
      </c>
      <c r="E288" t="str">
        <f t="shared" si="92"/>
        <v>634100</v>
      </c>
      <c r="F288" t="str">
        <f>"06/30/16"</f>
        <v>06/30/16</v>
      </c>
      <c r="G288" t="str">
        <f>"10730"</f>
        <v>10730</v>
      </c>
      <c r="H288" s="3">
        <v>700</v>
      </c>
      <c r="I288" s="3"/>
      <c r="J288" t="str">
        <f t="shared" si="93"/>
        <v>CREATIVE ENVIRONMENT CORP</v>
      </c>
      <c r="K288" t="str">
        <f>"3471330"</f>
        <v>3471330</v>
      </c>
      <c r="L288" s="2" t="str">
        <f>"GENERATOR STUDY AT 150 AND 180 SOUTH MAIN STREET, PROVIDENCE RI 02903"</f>
        <v>GENERATOR STUDY AT 150 AND 180 SOUTH MAIN STREET, PROVIDENCE RI 02903</v>
      </c>
      <c r="M288" t="str">
        <f t="shared" si="94"/>
        <v>SVALLANT</v>
      </c>
    </row>
    <row r="289" spans="1:13" ht="30" x14ac:dyDescent="0.25">
      <c r="A289" t="str">
        <f t="shared" si="88"/>
        <v>10</v>
      </c>
      <c r="B289" t="str">
        <f t="shared" si="89"/>
        <v>066</v>
      </c>
      <c r="C289" t="str">
        <f t="shared" si="90"/>
        <v>3010106</v>
      </c>
      <c r="D289" t="str">
        <f t="shared" si="91"/>
        <v>03</v>
      </c>
      <c r="E289" t="str">
        <f t="shared" si="92"/>
        <v>634100</v>
      </c>
      <c r="F289" t="str">
        <f>"08/31/14"</f>
        <v>08/31/14</v>
      </c>
      <c r="G289" t="str">
        <f>"9977"</f>
        <v>9977</v>
      </c>
      <c r="H289" s="3">
        <v>2500</v>
      </c>
      <c r="I289" s="3"/>
      <c r="J289" t="str">
        <f t="shared" si="93"/>
        <v>CREATIVE ENVIRONMENT CORP</v>
      </c>
      <c r="K289" t="str">
        <f>"3385261"</f>
        <v>3385261</v>
      </c>
      <c r="L289" s="2" t="str">
        <f>"EVALUATE HVAC SYSTEM AT 180 SOUTH MAIN STREET/DEVELOP SPECIFICATIONS FOR COMPUTER ROOM AIR CONDITIONING"</f>
        <v>EVALUATE HVAC SYSTEM AT 180 SOUTH MAIN STREET/DEVELOP SPECIFICATIONS FOR COMPUTER ROOM AIR CONDITIONING</v>
      </c>
      <c r="M289" t="str">
        <f t="shared" si="94"/>
        <v>SVALLANT</v>
      </c>
    </row>
    <row r="290" spans="1:13" ht="30" x14ac:dyDescent="0.25">
      <c r="A290" t="str">
        <f t="shared" si="88"/>
        <v>10</v>
      </c>
      <c r="B290" t="str">
        <f t="shared" si="89"/>
        <v>066</v>
      </c>
      <c r="C290" t="str">
        <f t="shared" si="90"/>
        <v>3010106</v>
      </c>
      <c r="D290" t="str">
        <f t="shared" si="91"/>
        <v>03</v>
      </c>
      <c r="E290" t="str">
        <f t="shared" si="92"/>
        <v>634100</v>
      </c>
      <c r="F290" t="str">
        <f>"08/31/15"</f>
        <v>08/31/15</v>
      </c>
      <c r="G290" t="str">
        <f>"10349"</f>
        <v>10349</v>
      </c>
      <c r="H290" s="3">
        <v>2500</v>
      </c>
      <c r="I290" s="3"/>
      <c r="J290" t="str">
        <f t="shared" si="93"/>
        <v>CREATIVE ENVIRONMENT CORP</v>
      </c>
      <c r="K290" t="str">
        <f>"3433586"</f>
        <v>3433586</v>
      </c>
      <c r="L290" s="2" t="str">
        <f>"EVALUATE HVAC SYSTEM AT 180 SOUTH MAIN STREET/DEVELOP SPECIFICATIONS FOR COMPUTER ROOM AIR CONDITIONING - ADDITIONAL SERVICES"</f>
        <v>EVALUATE HVAC SYSTEM AT 180 SOUTH MAIN STREET/DEVELOP SPECIFICATIONS FOR COMPUTER ROOM AIR CONDITIONING - ADDITIONAL SERVICES</v>
      </c>
      <c r="M290" t="str">
        <f t="shared" si="94"/>
        <v>SVALLANT</v>
      </c>
    </row>
    <row r="291" spans="1:13" ht="30" x14ac:dyDescent="0.25">
      <c r="A291" t="str">
        <f t="shared" si="88"/>
        <v>10</v>
      </c>
      <c r="B291" t="str">
        <f t="shared" si="89"/>
        <v>066</v>
      </c>
      <c r="C291" t="str">
        <f t="shared" si="90"/>
        <v>3010106</v>
      </c>
      <c r="D291" t="str">
        <f t="shared" si="91"/>
        <v>03</v>
      </c>
      <c r="E291" t="str">
        <f t="shared" si="92"/>
        <v>634100</v>
      </c>
      <c r="F291" t="str">
        <f>"09/30/14"</f>
        <v>09/30/14</v>
      </c>
      <c r="G291" t="str">
        <f>"10022"</f>
        <v>10022</v>
      </c>
      <c r="H291" s="3">
        <v>1250</v>
      </c>
      <c r="I291" s="3"/>
      <c r="J291" t="str">
        <f t="shared" si="93"/>
        <v>CREATIVE ENVIRONMENT CORP</v>
      </c>
      <c r="K291" t="str">
        <f>"3385261"</f>
        <v>3385261</v>
      </c>
      <c r="L291" s="2" t="str">
        <f>"EVALUATE HVAC SYSTEM AT 180 SOUTH MAIN STREET/DEVELOP SPECIFICATIONS FOR COMPUTER ROOM AIR CONDITIONING"</f>
        <v>EVALUATE HVAC SYSTEM AT 180 SOUTH MAIN STREET/DEVELOP SPECIFICATIONS FOR COMPUTER ROOM AIR CONDITIONING</v>
      </c>
      <c r="M291" t="str">
        <f t="shared" si="94"/>
        <v>SVALLANT</v>
      </c>
    </row>
    <row r="292" spans="1:13" ht="30" x14ac:dyDescent="0.25">
      <c r="A292" t="str">
        <f t="shared" si="88"/>
        <v>10</v>
      </c>
      <c r="B292" t="str">
        <f t="shared" si="89"/>
        <v>066</v>
      </c>
      <c r="C292" t="str">
        <f t="shared" si="90"/>
        <v>3010106</v>
      </c>
      <c r="D292" t="str">
        <f t="shared" si="91"/>
        <v>03</v>
      </c>
      <c r="E292" t="str">
        <f t="shared" si="92"/>
        <v>634100</v>
      </c>
      <c r="F292" t="str">
        <f>"09/30/16"</f>
        <v>09/30/16</v>
      </c>
      <c r="G292" t="str">
        <f>"10671"</f>
        <v>10671</v>
      </c>
      <c r="H292" s="3">
        <v>800</v>
      </c>
      <c r="I292" s="3"/>
      <c r="J292" t="str">
        <f t="shared" si="93"/>
        <v>CREATIVE ENVIRONMENT CORP</v>
      </c>
      <c r="K292" t="str">
        <f>"3486290"</f>
        <v>3486290</v>
      </c>
      <c r="L292" s="2" t="str">
        <f>"EVALUATE HVAC SYSTEM AT 180 SOUTH MAIN STREET/DEVELOP SPECIFICATIONS FOR COMPUTER ROOM AIR CONDITIONING - ADDITIONAL SERVICES"</f>
        <v>EVALUATE HVAC SYSTEM AT 180 SOUTH MAIN STREET/DEVELOP SPECIFICATIONS FOR COMPUTER ROOM AIR CONDITIONING - ADDITIONAL SERVICES</v>
      </c>
      <c r="M292" t="str">
        <f t="shared" si="94"/>
        <v>SVALLANT</v>
      </c>
    </row>
    <row r="293" spans="1:13" ht="30" x14ac:dyDescent="0.25">
      <c r="A293" t="str">
        <f t="shared" si="88"/>
        <v>10</v>
      </c>
      <c r="B293" t="str">
        <f t="shared" si="89"/>
        <v>066</v>
      </c>
      <c r="C293" t="str">
        <f t="shared" si="90"/>
        <v>3010106</v>
      </c>
      <c r="D293" t="str">
        <f t="shared" si="91"/>
        <v>03</v>
      </c>
      <c r="E293" t="str">
        <f t="shared" si="92"/>
        <v>634100</v>
      </c>
      <c r="F293" t="str">
        <f>"11/30/14"</f>
        <v>11/30/14</v>
      </c>
      <c r="G293" t="str">
        <f>"10068"</f>
        <v>10068</v>
      </c>
      <c r="H293" s="3">
        <v>1250</v>
      </c>
      <c r="I293" s="3"/>
      <c r="J293" t="str">
        <f t="shared" si="93"/>
        <v>CREATIVE ENVIRONMENT CORP</v>
      </c>
      <c r="K293" t="str">
        <f>"3385261"</f>
        <v>3385261</v>
      </c>
      <c r="L293" s="2" t="str">
        <f>"EVALUATE HVAC SYSTEM AT 180 SOUTH MAIN STREET/DEVELOP SPECIFICATIONS FOR COMPUTER ROOM AIR CONDITIONING"</f>
        <v>EVALUATE HVAC SYSTEM AT 180 SOUTH MAIN STREET/DEVELOP SPECIFICATIONS FOR COMPUTER ROOM AIR CONDITIONING</v>
      </c>
      <c r="M293" t="str">
        <f t="shared" si="94"/>
        <v>SVALLANT</v>
      </c>
    </row>
    <row r="294" spans="1:13" x14ac:dyDescent="0.25">
      <c r="H294" s="6">
        <f>SUM(H285:H293)</f>
        <v>13472</v>
      </c>
      <c r="I294" s="6">
        <f>SUM(H285:H293)</f>
        <v>13472</v>
      </c>
      <c r="L294" s="2"/>
      <c r="M294" t="str">
        <f t="shared" si="94"/>
        <v>SVALLANT</v>
      </c>
    </row>
    <row r="295" spans="1:13" x14ac:dyDescent="0.25">
      <c r="H295" s="3"/>
      <c r="I295" s="3"/>
      <c r="L295" s="2"/>
    </row>
    <row r="296" spans="1:13" ht="30" x14ac:dyDescent="0.25">
      <c r="A296" t="str">
        <f t="shared" ref="A296:A309" si="95">"10"</f>
        <v>10</v>
      </c>
      <c r="B296" t="str">
        <f t="shared" ref="B296:B309" si="96">"066"</f>
        <v>066</v>
      </c>
      <c r="C296" t="str">
        <f t="shared" ref="C296:C309" si="97">"3010106"</f>
        <v>3010106</v>
      </c>
      <c r="D296" t="str">
        <f t="shared" ref="D296:D309" si="98">"03"</f>
        <v>03</v>
      </c>
      <c r="E296" t="str">
        <f t="shared" ref="E296:E303" si="99">"641300"</f>
        <v>641300</v>
      </c>
      <c r="F296" t="str">
        <f t="shared" ref="F296:F303" si="100">"06/30/17"</f>
        <v>06/30/17</v>
      </c>
      <c r="G296" t="str">
        <f>"10153268591"</f>
        <v>10153268591</v>
      </c>
      <c r="H296" s="4">
        <v>2745.88</v>
      </c>
      <c r="I296" s="3"/>
      <c r="J296" t="str">
        <f t="shared" ref="J296:J309" si="101">"DELL MARKETING LP"</f>
        <v>DELL MARKETING LP</v>
      </c>
      <c r="K296" t="str">
        <f>"3505851"</f>
        <v>3505851</v>
      </c>
      <c r="L296" s="2" t="str">
        <f>"AZ PLAN STORSIMPLE 8100 NEW US G (HARDWARE) 3 MONTHS (MARCH 1 - MAY 31 2017) - PART AAA-29908 - PER QUOTE JMG17022102-R01"</f>
        <v>AZ PLAN STORSIMPLE 8100 NEW US G (HARDWARE) 3 MONTHS (MARCH 1 - MAY 31 2017) - PART AAA-29908 - PER QUOTE JMG17022102-R01</v>
      </c>
    </row>
    <row r="297" spans="1:13" ht="30" x14ac:dyDescent="0.25">
      <c r="A297" t="str">
        <f t="shared" si="95"/>
        <v>10</v>
      </c>
      <c r="B297" t="str">
        <f t="shared" si="96"/>
        <v>066</v>
      </c>
      <c r="C297" t="str">
        <f t="shared" si="97"/>
        <v>3010106</v>
      </c>
      <c r="D297" t="str">
        <f t="shared" si="98"/>
        <v>03</v>
      </c>
      <c r="E297" t="str">
        <f t="shared" si="99"/>
        <v>641300</v>
      </c>
      <c r="F297" t="str">
        <f t="shared" si="100"/>
        <v>06/30/17</v>
      </c>
      <c r="G297" t="str">
        <f>"10153268591"</f>
        <v>10153268591</v>
      </c>
      <c r="H297" s="4">
        <v>898.65</v>
      </c>
      <c r="I297" s="3"/>
      <c r="J297" t="str">
        <f t="shared" si="101"/>
        <v>DELL MARKETING LP</v>
      </c>
      <c r="K297" t="str">
        <f>"3505851"</f>
        <v>3505851</v>
      </c>
      <c r="L297" s="2" t="str">
        <f>"AZUREMNTRYCMMTMNTG SHRDSVR ALNG SUBSVL MVL CMMT 3 MONTHS MARCH 1 - MAY 31 2017 - PART J5U-00001 - PER QUOTE JMG17022102-R01"</f>
        <v>AZUREMNTRYCMMTMNTG SHRDSVR ALNG SUBSVL MVL CMMT 3 MONTHS MARCH 1 - MAY 31 2017 - PART J5U-00001 - PER QUOTE JMG17022102-R01</v>
      </c>
      <c r="M297" t="str">
        <f t="shared" ref="M297:M310" si="102">"SVALLANT"</f>
        <v>SVALLANT</v>
      </c>
    </row>
    <row r="298" spans="1:13" ht="30" x14ac:dyDescent="0.25">
      <c r="A298" t="str">
        <f t="shared" si="95"/>
        <v>10</v>
      </c>
      <c r="B298" t="str">
        <f t="shared" si="96"/>
        <v>066</v>
      </c>
      <c r="C298" t="str">
        <f t="shared" si="97"/>
        <v>3010106</v>
      </c>
      <c r="D298" t="str">
        <f t="shared" si="98"/>
        <v>03</v>
      </c>
      <c r="E298" t="str">
        <f t="shared" si="99"/>
        <v>641300</v>
      </c>
      <c r="F298" t="str">
        <f t="shared" si="100"/>
        <v>06/30/17</v>
      </c>
      <c r="G298" t="str">
        <f>"10169526260"</f>
        <v>10169526260</v>
      </c>
      <c r="H298" s="4">
        <v>17037</v>
      </c>
      <c r="I298" s="3"/>
      <c r="J298" t="str">
        <f t="shared" si="101"/>
        <v>DELL MARKETING LP</v>
      </c>
      <c r="K298" t="str">
        <f>"3516290"</f>
        <v>3516290</v>
      </c>
      <c r="L298" s="2" t="str">
        <f>"ENTMOBANDSECE3GOV SHARED ALNG MONTHLY SUB ADDON TOUSRCRCAL - 12 MONTHS - PART# 12523"</f>
        <v>ENTMOBANDSECE3GOV SHARED ALNG MONTHLY SUB ADDON TOUSRCRCAL - 12 MONTHS - PART# 12523</v>
      </c>
      <c r="M298" t="str">
        <f t="shared" si="102"/>
        <v>SVALLANT</v>
      </c>
    </row>
    <row r="299" spans="1:13" x14ac:dyDescent="0.25">
      <c r="A299" t="str">
        <f t="shared" si="95"/>
        <v>10</v>
      </c>
      <c r="B299" t="str">
        <f t="shared" si="96"/>
        <v>066</v>
      </c>
      <c r="C299" t="str">
        <f t="shared" si="97"/>
        <v>3010106</v>
      </c>
      <c r="D299" t="str">
        <f t="shared" si="98"/>
        <v>03</v>
      </c>
      <c r="E299" t="str">
        <f t="shared" si="99"/>
        <v>641300</v>
      </c>
      <c r="F299" t="str">
        <f t="shared" si="100"/>
        <v>06/30/17</v>
      </c>
      <c r="G299" t="str">
        <f>"10169526260"</f>
        <v>10169526260</v>
      </c>
      <c r="H299" s="4">
        <v>17829</v>
      </c>
      <c r="I299" s="3"/>
      <c r="J299" t="str">
        <f t="shared" si="101"/>
        <v>DELL MARKETING LP</v>
      </c>
      <c r="K299" t="str">
        <f>"3516290"</f>
        <v>3516290</v>
      </c>
      <c r="L299" s="2" t="str">
        <f>"WINE3PERUSER ALNG SUBSVL MVL PERUSR -12 MONTHS PART# AAA-10787"</f>
        <v>WINE3PERUSER ALNG SUBSVL MVL PERUSR -12 MONTHS PART# AAA-10787</v>
      </c>
      <c r="M299" t="str">
        <f t="shared" si="102"/>
        <v>SVALLANT</v>
      </c>
    </row>
    <row r="300" spans="1:13" x14ac:dyDescent="0.25">
      <c r="A300" t="str">
        <f t="shared" si="95"/>
        <v>10</v>
      </c>
      <c r="B300" t="str">
        <f t="shared" si="96"/>
        <v>066</v>
      </c>
      <c r="C300" t="str">
        <f t="shared" si="97"/>
        <v>3010106</v>
      </c>
      <c r="D300" t="str">
        <f t="shared" si="98"/>
        <v>03</v>
      </c>
      <c r="E300" t="str">
        <f t="shared" si="99"/>
        <v>641300</v>
      </c>
      <c r="F300" t="str">
        <f t="shared" si="100"/>
        <v>06/30/17</v>
      </c>
      <c r="G300" t="str">
        <f>"10170444564"</f>
        <v>10170444564</v>
      </c>
      <c r="H300" s="4">
        <v>16475.29</v>
      </c>
      <c r="I300" s="3"/>
      <c r="J300" t="str">
        <f t="shared" si="101"/>
        <v>DELL MARKETING LP</v>
      </c>
      <c r="K300" t="str">
        <f>"3516288"</f>
        <v>3516288</v>
      </c>
      <c r="L300" s="2" t="str">
        <f>"AZ PLAN STORSIMPLE 8100 US G - PART#AAA-29908"</f>
        <v>AZ PLAN STORSIMPLE 8100 US G - PART#AAA-29908</v>
      </c>
      <c r="M300" t="str">
        <f t="shared" si="102"/>
        <v>SVALLANT</v>
      </c>
    </row>
    <row r="301" spans="1:13" ht="30" x14ac:dyDescent="0.25">
      <c r="A301" t="str">
        <f t="shared" si="95"/>
        <v>10</v>
      </c>
      <c r="B301" t="str">
        <f t="shared" si="96"/>
        <v>066</v>
      </c>
      <c r="C301" t="str">
        <f t="shared" si="97"/>
        <v>3010106</v>
      </c>
      <c r="D301" t="str">
        <f t="shared" si="98"/>
        <v>03</v>
      </c>
      <c r="E301" t="str">
        <f t="shared" si="99"/>
        <v>641300</v>
      </c>
      <c r="F301" t="str">
        <f t="shared" si="100"/>
        <v>06/30/17</v>
      </c>
      <c r="G301" t="str">
        <f>"10170444564"</f>
        <v>10170444564</v>
      </c>
      <c r="H301" s="4">
        <v>57540</v>
      </c>
      <c r="I301" s="3"/>
      <c r="J301" t="str">
        <f t="shared" si="101"/>
        <v>DELL MARKETING LP</v>
      </c>
      <c r="K301" t="str">
        <f>"3516288"</f>
        <v>3516288</v>
      </c>
      <c r="L301" s="2" t="str">
        <f>"SOFTWARE LICENSES FOR HOSTED EMAIL AND COLLABORATIVE SOFTWARE SUITE O365GOVE3 SHRDSVR ANLG SUBSVL MVL PERUSR  PART# U7S-00008"</f>
        <v>SOFTWARE LICENSES FOR HOSTED EMAIL AND COLLABORATIVE SOFTWARE SUITE O365GOVE3 SHRDSVR ANLG SUBSVL MVL PERUSR  PART# U7S-00008</v>
      </c>
      <c r="M301" t="str">
        <f t="shared" si="102"/>
        <v>SVALLANT</v>
      </c>
    </row>
    <row r="302" spans="1:13" ht="30" x14ac:dyDescent="0.25">
      <c r="A302" t="str">
        <f t="shared" si="95"/>
        <v>10</v>
      </c>
      <c r="B302" t="str">
        <f t="shared" si="96"/>
        <v>066</v>
      </c>
      <c r="C302" t="str">
        <f t="shared" si="97"/>
        <v>3010106</v>
      </c>
      <c r="D302" t="str">
        <f t="shared" si="98"/>
        <v>03</v>
      </c>
      <c r="E302" t="str">
        <f t="shared" si="99"/>
        <v>641300</v>
      </c>
      <c r="F302" t="str">
        <f t="shared" si="100"/>
        <v>06/30/17</v>
      </c>
      <c r="G302" t="str">
        <f>"10170444564"</f>
        <v>10170444564</v>
      </c>
      <c r="H302" s="4">
        <v>7144.5</v>
      </c>
      <c r="I302" s="3"/>
      <c r="J302" t="str">
        <f t="shared" si="101"/>
        <v>DELL MARKETING LP</v>
      </c>
      <c r="K302" t="str">
        <f>"3516288"</f>
        <v>3516288</v>
      </c>
      <c r="L302" s="2" t="str">
        <f>"SOFTWARE LICENSES FOR HOSTED EMAIL AND COLLABORATIVE SOFTWARE SUITE -;CORECALBRIDGEO365 ANLG LICSAPK MVL USRCAL - PART#U3J00026"</f>
        <v>SOFTWARE LICENSES FOR HOSTED EMAIL AND COLLABORATIVE SOFTWARE SUITE -;CORECALBRIDGEO365 ANLG LICSAPK MVL USRCAL - PART#U3J00026</v>
      </c>
      <c r="M302" t="str">
        <f t="shared" si="102"/>
        <v>SVALLANT</v>
      </c>
    </row>
    <row r="303" spans="1:13" x14ac:dyDescent="0.25">
      <c r="A303" t="str">
        <f t="shared" si="95"/>
        <v>10</v>
      </c>
      <c r="B303" t="str">
        <f t="shared" si="96"/>
        <v>066</v>
      </c>
      <c r="C303" t="str">
        <f t="shared" si="97"/>
        <v>3010106</v>
      </c>
      <c r="D303" t="str">
        <f t="shared" si="98"/>
        <v>03</v>
      </c>
      <c r="E303" t="str">
        <f t="shared" si="99"/>
        <v>641300</v>
      </c>
      <c r="F303" t="str">
        <f t="shared" si="100"/>
        <v>06/30/17</v>
      </c>
      <c r="G303" t="str">
        <f>"10170444564"</f>
        <v>10170444564</v>
      </c>
      <c r="H303" s="4">
        <v>3594.6</v>
      </c>
      <c r="I303" s="3"/>
      <c r="J303" t="str">
        <f t="shared" si="101"/>
        <v>DELL MARKETING LP</v>
      </c>
      <c r="K303" t="str">
        <f>"3516288"</f>
        <v>3516288</v>
      </c>
      <c r="L303" s="2" t="str">
        <f>"AZUREMNTRYCMMTMNTG SHRDSVR ALNG SUBSVL MVL CMMT - PART#J5U-00001"</f>
        <v>AZUREMNTRYCMMTMNTG SHRDSVR ALNG SUBSVL MVL CMMT - PART#J5U-00001</v>
      </c>
      <c r="M303" t="str">
        <f t="shared" si="102"/>
        <v>SVALLANT</v>
      </c>
    </row>
    <row r="304" spans="1:13" ht="30" x14ac:dyDescent="0.25">
      <c r="A304" t="str">
        <f t="shared" si="95"/>
        <v>10</v>
      </c>
      <c r="B304" t="str">
        <f t="shared" si="96"/>
        <v>066</v>
      </c>
      <c r="C304" t="str">
        <f t="shared" si="97"/>
        <v>3010106</v>
      </c>
      <c r="D304" t="str">
        <f t="shared" si="98"/>
        <v>03</v>
      </c>
      <c r="E304" t="str">
        <f t="shared" ref="E304:E309" si="103">"643120"</f>
        <v>643120</v>
      </c>
      <c r="F304" t="str">
        <f>"05/31/17"</f>
        <v>05/31/17</v>
      </c>
      <c r="G304" t="str">
        <f>"10155482350"</f>
        <v>10155482350</v>
      </c>
      <c r="H304" s="4">
        <v>1530.75</v>
      </c>
      <c r="I304" s="3"/>
      <c r="J304" t="str">
        <f t="shared" si="101"/>
        <v>DELL MARKETING LP</v>
      </c>
      <c r="K304" t="str">
        <f>"3505847"</f>
        <v>3505847</v>
      </c>
      <c r="L304" s="2" t="str">
        <f>"CORECALBRIDGEO365 ALNG LICSAPK MVL USRCAL - PART U3J-00026 - PER QUOTE JMG17022403"</f>
        <v>CORECALBRIDGEO365 ALNG LICSAPK MVL USRCAL - PART U3J-00026 - PER QUOTE JMG17022403</v>
      </c>
      <c r="M304" t="str">
        <f t="shared" si="102"/>
        <v>SVALLANT</v>
      </c>
    </row>
    <row r="305" spans="1:13" ht="30" x14ac:dyDescent="0.25">
      <c r="A305" t="str">
        <f t="shared" si="95"/>
        <v>10</v>
      </c>
      <c r="B305" t="str">
        <f t="shared" si="96"/>
        <v>066</v>
      </c>
      <c r="C305" t="str">
        <f t="shared" si="97"/>
        <v>3010106</v>
      </c>
      <c r="D305" t="str">
        <f t="shared" si="98"/>
        <v>03</v>
      </c>
      <c r="E305" t="str">
        <f t="shared" si="103"/>
        <v>643120</v>
      </c>
      <c r="F305" t="str">
        <f>"05/31/17"</f>
        <v>05/31/17</v>
      </c>
      <c r="G305" t="str">
        <f>"10155482350"</f>
        <v>10155482350</v>
      </c>
      <c r="H305" s="4">
        <v>799.25</v>
      </c>
      <c r="I305" s="3"/>
      <c r="J305" t="str">
        <f t="shared" si="101"/>
        <v>DELL MARKETING LP</v>
      </c>
      <c r="K305" t="str">
        <f>"3505847"</f>
        <v>3505847</v>
      </c>
      <c r="L305" s="2" t="str">
        <f>"O365GOVE3 SHRDSVR ALNG SUBSVL MVL PERUSR - COVERAGE THROUGH MAY 31,2017 PART: U7S-00008 PER QUOTE JMG17022403"</f>
        <v>O365GOVE3 SHRDSVR ALNG SUBSVL MVL PERUSR - COVERAGE THROUGH MAY 31,2017 PART: U7S-00008 PER QUOTE JMG17022403</v>
      </c>
      <c r="M305" t="str">
        <f t="shared" si="102"/>
        <v>SVALLANT</v>
      </c>
    </row>
    <row r="306" spans="1:13" ht="30" x14ac:dyDescent="0.25">
      <c r="A306" t="str">
        <f t="shared" si="95"/>
        <v>10</v>
      </c>
      <c r="B306" t="str">
        <f t="shared" si="96"/>
        <v>066</v>
      </c>
      <c r="C306" t="str">
        <f t="shared" si="97"/>
        <v>3010106</v>
      </c>
      <c r="D306" t="str">
        <f t="shared" si="98"/>
        <v>03</v>
      </c>
      <c r="E306" t="str">
        <f t="shared" si="103"/>
        <v>643120</v>
      </c>
      <c r="F306" t="str">
        <f>"06/30/15"</f>
        <v>06/30/15</v>
      </c>
      <c r="G306" t="str">
        <f>"XJPC34358"</f>
        <v>XJPC34358</v>
      </c>
      <c r="H306" s="4">
        <v>7144.5</v>
      </c>
      <c r="I306" s="3"/>
      <c r="J306" t="str">
        <f t="shared" si="101"/>
        <v>DELL MARKETING LP</v>
      </c>
      <c r="K306" t="str">
        <f>"3417208"</f>
        <v>3417208</v>
      </c>
      <c r="L306" s="2" t="str">
        <f>"Software licenses for hosted email and collaborative software suite.;;CORECALBRIDGEO365 ANLG LICSAPK MVL USRCAL"</f>
        <v>Software licenses for hosted email and collaborative software suite.;;CORECALBRIDGEO365 ANLG LICSAPK MVL USRCAL</v>
      </c>
      <c r="M306" t="str">
        <f t="shared" si="102"/>
        <v>SVALLANT</v>
      </c>
    </row>
    <row r="307" spans="1:13" ht="30" x14ac:dyDescent="0.25">
      <c r="A307" t="str">
        <f t="shared" si="95"/>
        <v>10</v>
      </c>
      <c r="B307" t="str">
        <f t="shared" si="96"/>
        <v>066</v>
      </c>
      <c r="C307" t="str">
        <f t="shared" si="97"/>
        <v>3010106</v>
      </c>
      <c r="D307" t="str">
        <f t="shared" si="98"/>
        <v>03</v>
      </c>
      <c r="E307" t="str">
        <f t="shared" si="103"/>
        <v>643120</v>
      </c>
      <c r="F307" t="str">
        <f>"06/30/15"</f>
        <v>06/30/15</v>
      </c>
      <c r="G307" t="str">
        <f>"XJPC34358"</f>
        <v>XJPC34358</v>
      </c>
      <c r="H307" s="4">
        <v>52747.75</v>
      </c>
      <c r="I307" s="3"/>
      <c r="J307" t="str">
        <f t="shared" si="101"/>
        <v>DELL MARKETING LP</v>
      </c>
      <c r="K307" t="str">
        <f>"3417208"</f>
        <v>3417208</v>
      </c>
      <c r="L307" s="2" t="str">
        <f>"Software licenses for hosted email and collaborative software suite.;;OFF365PE3 SHREDSVR ANLG SUBSVL MVL PERUSR 12"</f>
        <v>Software licenses for hosted email and collaborative software suite.;;OFF365PE3 SHREDSVR ANLG SUBSVL MVL PERUSR 12</v>
      </c>
      <c r="M307" t="str">
        <f t="shared" si="102"/>
        <v>SVALLANT</v>
      </c>
    </row>
    <row r="308" spans="1:13" ht="30" x14ac:dyDescent="0.25">
      <c r="A308" t="str">
        <f t="shared" si="95"/>
        <v>10</v>
      </c>
      <c r="B308" t="str">
        <f t="shared" si="96"/>
        <v>066</v>
      </c>
      <c r="C308" t="str">
        <f t="shared" si="97"/>
        <v>3010106</v>
      </c>
      <c r="D308" t="str">
        <f t="shared" si="98"/>
        <v>03</v>
      </c>
      <c r="E308" t="str">
        <f t="shared" si="103"/>
        <v>643120</v>
      </c>
      <c r="F308" t="str">
        <f>"06/30/16"</f>
        <v>06/30/16</v>
      </c>
      <c r="G308" t="str">
        <f>"XJXTXCXT9"</f>
        <v>XJXTXCXT9</v>
      </c>
      <c r="H308" s="4">
        <v>52747.75</v>
      </c>
      <c r="I308" s="3"/>
      <c r="J308" t="str">
        <f t="shared" si="101"/>
        <v>DELL MARKETING LP</v>
      </c>
      <c r="K308" t="str">
        <f>"3469766"</f>
        <v>3469766</v>
      </c>
      <c r="L308" s="2" t="str">
        <f>"Software licenses for hosted email and collaborative software suite.;;OFF365PE3 SHREDSVR ANLG SUBSVL MVL PERUSR 12"</f>
        <v>Software licenses for hosted email and collaborative software suite.;;OFF365PE3 SHREDSVR ANLG SUBSVL MVL PERUSR 12</v>
      </c>
      <c r="M308" t="str">
        <f t="shared" si="102"/>
        <v>SVALLANT</v>
      </c>
    </row>
    <row r="309" spans="1:13" ht="30" x14ac:dyDescent="0.25">
      <c r="A309" t="str">
        <f t="shared" si="95"/>
        <v>10</v>
      </c>
      <c r="B309" t="str">
        <f t="shared" si="96"/>
        <v>066</v>
      </c>
      <c r="C309" t="str">
        <f t="shared" si="97"/>
        <v>3010106</v>
      </c>
      <c r="D309" t="str">
        <f t="shared" si="98"/>
        <v>03</v>
      </c>
      <c r="E309" t="str">
        <f t="shared" si="103"/>
        <v>643120</v>
      </c>
      <c r="F309" t="str">
        <f>"06/30/16"</f>
        <v>06/30/16</v>
      </c>
      <c r="G309" t="str">
        <f>"XJXTXCXT9"</f>
        <v>XJXTXCXT9</v>
      </c>
      <c r="H309" s="4">
        <v>7144.5</v>
      </c>
      <c r="I309" s="3"/>
      <c r="J309" t="str">
        <f t="shared" si="101"/>
        <v>DELL MARKETING LP</v>
      </c>
      <c r="K309" t="str">
        <f>"3469766"</f>
        <v>3469766</v>
      </c>
      <c r="L309" s="2" t="str">
        <f>"Software licenses for hosted email and collaborative software suite.;;CORECALBRIDGEO365 ANLG LICSAPK MVL USRCAL"</f>
        <v>Software licenses for hosted email and collaborative software suite.;;CORECALBRIDGEO365 ANLG LICSAPK MVL USRCAL</v>
      </c>
      <c r="M309" t="str">
        <f t="shared" si="102"/>
        <v>SVALLANT</v>
      </c>
    </row>
    <row r="310" spans="1:13" x14ac:dyDescent="0.25">
      <c r="H310" s="6">
        <f>SUM(H296:H309)</f>
        <v>245379.42</v>
      </c>
      <c r="I310" s="6">
        <f>SUM(H296:H309)</f>
        <v>245379.42</v>
      </c>
      <c r="L310" s="2"/>
      <c r="M310" t="str">
        <f t="shared" si="102"/>
        <v>SVALLANT</v>
      </c>
    </row>
    <row r="311" spans="1:13" x14ac:dyDescent="0.25">
      <c r="H311" s="3"/>
      <c r="I311" s="3"/>
      <c r="L311" s="2"/>
    </row>
    <row r="312" spans="1:13" x14ac:dyDescent="0.25">
      <c r="A312" t="str">
        <f>"10"</f>
        <v>10</v>
      </c>
      <c r="B312" t="str">
        <f>"066"</f>
        <v>066</v>
      </c>
      <c r="C312" t="str">
        <f>"3010106"</f>
        <v>3010106</v>
      </c>
      <c r="D312" t="str">
        <f>"03"</f>
        <v>03</v>
      </c>
      <c r="E312" t="str">
        <f>"660010"</f>
        <v>660010</v>
      </c>
      <c r="F312" t="str">
        <f>"01/31/16"</f>
        <v>01/31/16</v>
      </c>
      <c r="G312" t="str">
        <f>"APP. NO: 00005"</f>
        <v>APP. NO: 00005</v>
      </c>
      <c r="H312" s="3">
        <v>11052</v>
      </c>
      <c r="I312" s="3"/>
      <c r="J312" t="str">
        <f>"DELTA MECHANICAL CONTRACTORS LLC"</f>
        <v>DELTA MECHANICAL CONTRACTORS LLC</v>
      </c>
      <c r="K312" t="str">
        <f>"3429347"</f>
        <v>3429347</v>
      </c>
      <c r="L312" s="2" t="str">
        <f>"DATA CENTER HVAC &amp; CONTROLS SYSTEM UPGRADES AT 180 SOUTH MAIN STREET"</f>
        <v>DATA CENTER HVAC &amp; CONTROLS SYSTEM UPGRADES AT 180 SOUTH MAIN STREET</v>
      </c>
    </row>
    <row r="313" spans="1:13" x14ac:dyDescent="0.25">
      <c r="A313" t="str">
        <f>"10"</f>
        <v>10</v>
      </c>
      <c r="B313" t="str">
        <f>"066"</f>
        <v>066</v>
      </c>
      <c r="C313" t="str">
        <f>"3010106"</f>
        <v>3010106</v>
      </c>
      <c r="D313" t="str">
        <f>"03"</f>
        <v>03</v>
      </c>
      <c r="E313" t="str">
        <f>"660010"</f>
        <v>660010</v>
      </c>
      <c r="F313" t="str">
        <f>"09/30/15"</f>
        <v>09/30/15</v>
      </c>
      <c r="G313" t="str">
        <f>"APP. NO: 00001"</f>
        <v>APP. NO: 00001</v>
      </c>
      <c r="H313" s="3">
        <v>6441</v>
      </c>
      <c r="I313" s="3"/>
      <c r="J313" t="str">
        <f>"DELTA MECHANICAL CONTRACTORS LLC"</f>
        <v>DELTA MECHANICAL CONTRACTORS LLC</v>
      </c>
      <c r="K313" t="str">
        <f>"3429347"</f>
        <v>3429347</v>
      </c>
      <c r="L313" s="2" t="str">
        <f>"DATA CENTER HVAC &amp; CONTROLS SYSTEM UPGRADES AT 180 SOUTH MAIN STREET"</f>
        <v>DATA CENTER HVAC &amp; CONTROLS SYSTEM UPGRADES AT 180 SOUTH MAIN STREET</v>
      </c>
      <c r="M313" t="str">
        <f>"SVALLANT"</f>
        <v>SVALLANT</v>
      </c>
    </row>
    <row r="314" spans="1:13" x14ac:dyDescent="0.25">
      <c r="A314" t="str">
        <f>"10"</f>
        <v>10</v>
      </c>
      <c r="B314" t="str">
        <f>"066"</f>
        <v>066</v>
      </c>
      <c r="C314" t="str">
        <f>"3010106"</f>
        <v>3010106</v>
      </c>
      <c r="D314" t="str">
        <f>"03"</f>
        <v>03</v>
      </c>
      <c r="E314" t="str">
        <f>"660010"</f>
        <v>660010</v>
      </c>
      <c r="F314" t="str">
        <f>"10/31/15"</f>
        <v>10/31/15</v>
      </c>
      <c r="G314" t="str">
        <f>"APP. NO: 00002"</f>
        <v>APP. NO: 00002</v>
      </c>
      <c r="H314" s="3">
        <v>105746.4</v>
      </c>
      <c r="I314" s="3"/>
      <c r="J314" t="str">
        <f>"DELTA MECHANICAL CONTRACTORS LLC"</f>
        <v>DELTA MECHANICAL CONTRACTORS LLC</v>
      </c>
      <c r="K314" t="str">
        <f>"3429347"</f>
        <v>3429347</v>
      </c>
      <c r="L314" s="2" t="str">
        <f>"DATA CENTER HVAC &amp; CONTROLS SYSTEM UPGRADES AT 180 SOUTH MAIN STREET"</f>
        <v>DATA CENTER HVAC &amp; CONTROLS SYSTEM UPGRADES AT 180 SOUTH MAIN STREET</v>
      </c>
      <c r="M314" t="str">
        <f>"SVALLANT"</f>
        <v>SVALLANT</v>
      </c>
    </row>
    <row r="315" spans="1:13" x14ac:dyDescent="0.25">
      <c r="A315" t="str">
        <f>"10"</f>
        <v>10</v>
      </c>
      <c r="B315" t="str">
        <f>"066"</f>
        <v>066</v>
      </c>
      <c r="C315" t="str">
        <f>"3010106"</f>
        <v>3010106</v>
      </c>
      <c r="D315" t="str">
        <f>"03"</f>
        <v>03</v>
      </c>
      <c r="E315" t="str">
        <f>"660010"</f>
        <v>660010</v>
      </c>
      <c r="F315" t="str">
        <f>"11/30/15"</f>
        <v>11/30/15</v>
      </c>
      <c r="G315" t="str">
        <f>"APP. NO: 00003"</f>
        <v>APP. NO: 00003</v>
      </c>
      <c r="H315" s="3">
        <v>49721.18</v>
      </c>
      <c r="I315" s="3"/>
      <c r="J315" t="str">
        <f>"DELTA MECHANICAL CONTRACTORS LLC"</f>
        <v>DELTA MECHANICAL CONTRACTORS LLC</v>
      </c>
      <c r="K315" t="str">
        <f>"3429347"</f>
        <v>3429347</v>
      </c>
      <c r="L315" s="2" t="str">
        <f>"DATA CENTER HVAC &amp; CONTROLS SYSTEM UPGRADES AT 180 SOUTH MAIN STREET"</f>
        <v>DATA CENTER HVAC &amp; CONTROLS SYSTEM UPGRADES AT 180 SOUTH MAIN STREET</v>
      </c>
      <c r="M315" t="str">
        <f>"SVALLANT"</f>
        <v>SVALLANT</v>
      </c>
    </row>
    <row r="316" spans="1:13" x14ac:dyDescent="0.25">
      <c r="A316" t="str">
        <f>"10"</f>
        <v>10</v>
      </c>
      <c r="B316" t="str">
        <f>"066"</f>
        <v>066</v>
      </c>
      <c r="C316" t="str">
        <f>"3010106"</f>
        <v>3010106</v>
      </c>
      <c r="D316" t="str">
        <f>"03"</f>
        <v>03</v>
      </c>
      <c r="E316" t="str">
        <f>"660010"</f>
        <v>660010</v>
      </c>
      <c r="F316" t="str">
        <f>"12/31/15"</f>
        <v>12/31/15</v>
      </c>
      <c r="G316" t="str">
        <f>"APP. NO: 00004"</f>
        <v>APP. NO: 00004</v>
      </c>
      <c r="H316" s="3">
        <v>13353</v>
      </c>
      <c r="I316" s="3"/>
      <c r="J316" t="str">
        <f>"DELTA MECHANICAL CONTRACTORS LLC"</f>
        <v>DELTA MECHANICAL CONTRACTORS LLC</v>
      </c>
      <c r="K316" t="str">
        <f>"3429347"</f>
        <v>3429347</v>
      </c>
      <c r="L316" s="2" t="str">
        <f>"DATA CENTER HVAC &amp; CONTROLS SYSTEM UPGRADES AT 180 SOUTH MAIN STREET"</f>
        <v>DATA CENTER HVAC &amp; CONTROLS SYSTEM UPGRADES AT 180 SOUTH MAIN STREET</v>
      </c>
      <c r="M316" t="str">
        <f>"SVALLANT"</f>
        <v>SVALLANT</v>
      </c>
    </row>
    <row r="317" spans="1:13" x14ac:dyDescent="0.25">
      <c r="A317" t="str">
        <f t="shared" si="0"/>
        <v>10</v>
      </c>
      <c r="B317" t="str">
        <f t="shared" si="5"/>
        <v>066</v>
      </c>
      <c r="C317" t="str">
        <f t="shared" si="6"/>
        <v>3010106</v>
      </c>
      <c r="D317" t="str">
        <f t="shared" si="7"/>
        <v>03</v>
      </c>
      <c r="E317" t="str">
        <f>"640100"</f>
        <v>640100</v>
      </c>
      <c r="F317" t="str">
        <f>"06/30/16"</f>
        <v>06/30/16</v>
      </c>
      <c r="G317" t="str">
        <f>"J16066MEF0903"</f>
        <v>J16066MEF0903</v>
      </c>
      <c r="H317" s="3">
        <v>1483.65</v>
      </c>
      <c r="I317" s="3"/>
      <c r="J317" t="str">
        <f>""</f>
        <v/>
      </c>
      <c r="K317" t="str">
        <f>""</f>
        <v/>
      </c>
      <c r="L317" s="2" t="str">
        <f>"ADJUSTMENT OF DELTA INV# D16101"</f>
        <v>ADJUSTMENT OF DELTA INV# D16101</v>
      </c>
      <c r="M317" t="str">
        <f>"SVALLANT"</f>
        <v>SVALLANT</v>
      </c>
    </row>
    <row r="318" spans="1:13" x14ac:dyDescent="0.25">
      <c r="A318" t="str">
        <f t="shared" si="0"/>
        <v>10</v>
      </c>
      <c r="B318" t="str">
        <f t="shared" si="5"/>
        <v>066</v>
      </c>
      <c r="C318" t="str">
        <f t="shared" si="6"/>
        <v>3010106</v>
      </c>
      <c r="D318" t="str">
        <f t="shared" si="7"/>
        <v>03</v>
      </c>
      <c r="E318" t="str">
        <f>"640100"</f>
        <v>640100</v>
      </c>
      <c r="F318" t="str">
        <f>"06/30/16"</f>
        <v>06/30/16</v>
      </c>
      <c r="G318" t="str">
        <f>"J16066MEF0915"</f>
        <v>J16066MEF0915</v>
      </c>
      <c r="H318" s="3">
        <v>744.14</v>
      </c>
      <c r="I318" s="3"/>
      <c r="J318" t="str">
        <f>""</f>
        <v/>
      </c>
      <c r="K318" t="str">
        <f>""</f>
        <v/>
      </c>
      <c r="L318" s="2" t="str">
        <f>"ADJUSTMENT OF DELTA MECHANICAL BILL"</f>
        <v>ADJUSTMENT OF DELTA MECHANICAL BILL</v>
      </c>
    </row>
    <row r="319" spans="1:13" x14ac:dyDescent="0.25">
      <c r="H319" s="6">
        <f>SUM(H312:H318)</f>
        <v>188541.37</v>
      </c>
      <c r="I319" s="6">
        <f>SUM(H312:H318)</f>
        <v>188541.37</v>
      </c>
      <c r="L319" s="2"/>
    </row>
    <row r="320" spans="1:13" x14ac:dyDescent="0.25">
      <c r="H320" s="3"/>
      <c r="I320" s="3"/>
      <c r="L320" s="2"/>
    </row>
    <row r="321" spans="1:13" ht="30" x14ac:dyDescent="0.25">
      <c r="A321" t="str">
        <f>"10"</f>
        <v>10</v>
      </c>
      <c r="B321" t="str">
        <f>"066"</f>
        <v>066</v>
      </c>
      <c r="C321" t="str">
        <f>"3010106"</f>
        <v>3010106</v>
      </c>
      <c r="D321" t="str">
        <f>"03"</f>
        <v>03</v>
      </c>
      <c r="E321" t="str">
        <f>"640100"</f>
        <v>640100</v>
      </c>
      <c r="F321" t="str">
        <f>"03/31/15"</f>
        <v>03/31/15</v>
      </c>
      <c r="G321" t="str">
        <f>"134722"</f>
        <v>134722</v>
      </c>
      <c r="H321" s="4">
        <v>6388</v>
      </c>
      <c r="I321" s="3"/>
      <c r="J321" t="str">
        <f>"DORMA USA INC"</f>
        <v>DORMA USA INC</v>
      </c>
      <c r="K321" t="str">
        <f>"3371064"</f>
        <v>3371064</v>
      </c>
      <c r="L321" s="2" t="str">
        <f>"MPA-379 - 7/1/14-6/30/15 AUTOMATIC DOOR OPERATOR SERVICE CALLS AND INSTALLATION STRAIGHT TIME REPAIR SERVICE - RATE PER HOUR"</f>
        <v>MPA-379 - 7/1/14-6/30/15 AUTOMATIC DOOR OPERATOR SERVICE CALLS AND INSTALLATION STRAIGHT TIME REPAIR SERVICE - RATE PER HOUR</v>
      </c>
    </row>
    <row r="322" spans="1:13" ht="30" x14ac:dyDescent="0.25">
      <c r="A322" t="str">
        <f>"10"</f>
        <v>10</v>
      </c>
      <c r="B322" t="str">
        <f>"066"</f>
        <v>066</v>
      </c>
      <c r="C322" t="str">
        <f>"3010106"</f>
        <v>3010106</v>
      </c>
      <c r="D322" t="str">
        <f>"03"</f>
        <v>03</v>
      </c>
      <c r="E322" t="str">
        <f>"640100"</f>
        <v>640100</v>
      </c>
      <c r="F322" t="str">
        <f>"03/31/15"</f>
        <v>03/31/15</v>
      </c>
      <c r="G322" t="str">
        <f>"153121"</f>
        <v>153121</v>
      </c>
      <c r="H322" s="3">
        <v>1612</v>
      </c>
      <c r="I322" s="3"/>
      <c r="J322" t="str">
        <f>"DORMA USA INC"</f>
        <v>DORMA USA INC</v>
      </c>
      <c r="K322" t="str">
        <f>"3371064"</f>
        <v>3371064</v>
      </c>
      <c r="L322" s="2" t="str">
        <f>"MPA-379 - 7/1/14-6/30/15 AUTOMATIC DOOR OPERATOR SERVICE CALLS AND INSTALLATION STRAIGHT TIME REPAIR SERVICE - RATE PER HOUR"</f>
        <v>MPA-379 - 7/1/14-6/30/15 AUTOMATIC DOOR OPERATOR SERVICE CALLS AND INSTALLATION STRAIGHT TIME REPAIR SERVICE - RATE PER HOUR</v>
      </c>
      <c r="M322" t="str">
        <f>"MFUSCO"</f>
        <v>MFUSCO</v>
      </c>
    </row>
    <row r="323" spans="1:13" x14ac:dyDescent="0.25">
      <c r="H323" s="6">
        <f>SUM(H321:H322)</f>
        <v>8000</v>
      </c>
      <c r="I323" s="6">
        <f>SUM(H321:H322)</f>
        <v>8000</v>
      </c>
      <c r="L323" s="2"/>
      <c r="M323" t="str">
        <f>"MFUSCO"</f>
        <v>MFUSCO</v>
      </c>
    </row>
    <row r="324" spans="1:13" x14ac:dyDescent="0.25">
      <c r="H324" s="3"/>
      <c r="I324" s="3"/>
      <c r="L324" s="2"/>
    </row>
    <row r="325" spans="1:13" x14ac:dyDescent="0.25">
      <c r="A325" t="str">
        <f t="shared" ref="A325:A330" si="104">"10"</f>
        <v>10</v>
      </c>
      <c r="B325" t="str">
        <f t="shared" ref="B325:B330" si="105">"066"</f>
        <v>066</v>
      </c>
      <c r="C325" t="str">
        <f t="shared" ref="C325:C330" si="106">"3010106"</f>
        <v>3010106</v>
      </c>
      <c r="D325" t="str">
        <f t="shared" ref="D325:D330" si="107">"03"</f>
        <v>03</v>
      </c>
      <c r="E325" t="str">
        <f t="shared" ref="E325:E330" si="108">"640100"</f>
        <v>640100</v>
      </c>
      <c r="F325" t="str">
        <f>"06/30/14"</f>
        <v>06/30/14</v>
      </c>
      <c r="G325" t="str">
        <f>"3250040 128"</f>
        <v>3250040 128</v>
      </c>
      <c r="H325" s="3">
        <v>736</v>
      </c>
      <c r="I325" s="3"/>
      <c r="J325" t="str">
        <f t="shared" ref="J325:J330" si="109">"E&amp;J MASONRY CO INC"</f>
        <v>E&amp;J MASONRY CO INC</v>
      </c>
      <c r="K325" t="str">
        <f>"3250040"</f>
        <v>3250040</v>
      </c>
      <c r="L325" s="2" t="str">
        <f>"MPA-52 10/1/11 - 7/31/14 Laborer"</f>
        <v>MPA-52 10/1/11 - 7/31/14 Laborer</v>
      </c>
    </row>
    <row r="326" spans="1:13" ht="45" x14ac:dyDescent="0.25">
      <c r="A326" t="str">
        <f t="shared" si="104"/>
        <v>10</v>
      </c>
      <c r="B326" t="str">
        <f t="shared" si="105"/>
        <v>066</v>
      </c>
      <c r="C326" t="str">
        <f t="shared" si="106"/>
        <v>3010106</v>
      </c>
      <c r="D326" t="str">
        <f t="shared" si="107"/>
        <v>03</v>
      </c>
      <c r="E326" t="str">
        <f t="shared" si="108"/>
        <v>640100</v>
      </c>
      <c r="F326" t="str">
        <f>"06/30/14"</f>
        <v>06/30/14</v>
      </c>
      <c r="G326" t="str">
        <f>"3250040 128"</f>
        <v>3250040 128</v>
      </c>
      <c r="H326" s="3">
        <v>715</v>
      </c>
      <c r="I326" s="3"/>
      <c r="J326" t="str">
        <f t="shared" si="109"/>
        <v>E&amp;J MASONRY CO INC</v>
      </c>
      <c r="K326" t="str">
        <f>"3250040"</f>
        <v>3250040</v>
      </c>
      <c r="L326" s="2" t="str">
        <f>"MPA-52 10/1/11 - 7/31/14 MATERIAL COST PLUS FOLLOWING:  $0-500 - NO FEE, $501-700- $75.00, $701-1,000 - $96.00, $1,001-1,500 - $125.00, $1,501-2,500 - $180.00, $2,501-5,000 - $300.00, $5,001-7,500 - $"</f>
        <v>MPA-52 10/1/11 - 7/31/14 MATERIAL COST PLUS FOLLOWING:  $0-500 - NO FEE, $501-700- $75.00, $701-1,000 - $96.00, $1,001-1,500 - $125.00, $1,501-2,500 - $180.00, $2,501-5,000 - $300.00, $5,001-7,500 - $</v>
      </c>
      <c r="M326" t="str">
        <f>"SVALLANT"</f>
        <v>SVALLANT</v>
      </c>
    </row>
    <row r="327" spans="1:13" x14ac:dyDescent="0.25">
      <c r="A327" t="str">
        <f t="shared" si="104"/>
        <v>10</v>
      </c>
      <c r="B327" t="str">
        <f t="shared" si="105"/>
        <v>066</v>
      </c>
      <c r="C327" t="str">
        <f t="shared" si="106"/>
        <v>3010106</v>
      </c>
      <c r="D327" t="str">
        <f t="shared" si="107"/>
        <v>03</v>
      </c>
      <c r="E327" t="str">
        <f t="shared" si="108"/>
        <v>640100</v>
      </c>
      <c r="F327" t="str">
        <f>"06/30/14"</f>
        <v>06/30/14</v>
      </c>
      <c r="G327" t="str">
        <f>"3250040 128"</f>
        <v>3250040 128</v>
      </c>
      <c r="H327" s="3">
        <v>800</v>
      </c>
      <c r="I327" s="3"/>
      <c r="J327" t="str">
        <f t="shared" si="109"/>
        <v>E&amp;J MASONRY CO INC</v>
      </c>
      <c r="K327" t="str">
        <f>"3250040"</f>
        <v>3250040</v>
      </c>
      <c r="L327" s="2" t="str">
        <f>"MPA-52 10/1/11 - 7/31/14 Masonry"</f>
        <v>MPA-52 10/1/11 - 7/31/14 Masonry</v>
      </c>
      <c r="M327" t="str">
        <f>"SVALLANT"</f>
        <v>SVALLANT</v>
      </c>
    </row>
    <row r="328" spans="1:13" ht="45" x14ac:dyDescent="0.25">
      <c r="A328" t="str">
        <f t="shared" si="104"/>
        <v>10</v>
      </c>
      <c r="B328" t="str">
        <f t="shared" si="105"/>
        <v>066</v>
      </c>
      <c r="C328" t="str">
        <f t="shared" si="106"/>
        <v>3010106</v>
      </c>
      <c r="D328" t="str">
        <f t="shared" si="107"/>
        <v>03</v>
      </c>
      <c r="E328" t="str">
        <f t="shared" si="108"/>
        <v>640100</v>
      </c>
      <c r="F328" t="str">
        <f>"11/30/16"</f>
        <v>11/30/16</v>
      </c>
      <c r="G328" t="str">
        <f>"3438723-47"</f>
        <v>3438723-47</v>
      </c>
      <c r="H328" s="3">
        <v>350</v>
      </c>
      <c r="I328" s="3"/>
      <c r="J328" t="str">
        <f t="shared" si="109"/>
        <v>E&amp;J MASONRY CO INC</v>
      </c>
      <c r="K328" t="str">
        <f>"3438723"</f>
        <v>3438723</v>
      </c>
      <c r="L328" s="2" t="str">
        <f>"MPA-52 FY17 - MATERIALS/PARTS:  THE OWNER SHALL BE ENTITILED TO ANY AND ALL MATERIAL OR TRADE DISCOUNTS OFF LIST PRICES THAT THE VENDOR RECEIVES.  MATERIAL QUOTES AND INVOICE SHALL PROVIDE T"</f>
        <v>MPA-52 FY17 - MATERIALS/PARTS:  THE OWNER SHALL BE ENTITILED TO ANY AND ALL MATERIAL OR TRADE DISCOUNTS OFF LIST PRICES THAT THE VENDOR RECEIVES.  MATERIAL QUOTES AND INVOICE SHALL PROVIDE T</v>
      </c>
      <c r="M328" t="str">
        <f>"SVALLANT"</f>
        <v>SVALLANT</v>
      </c>
    </row>
    <row r="329" spans="1:13" x14ac:dyDescent="0.25">
      <c r="A329" t="str">
        <f t="shared" si="104"/>
        <v>10</v>
      </c>
      <c r="B329" t="str">
        <f t="shared" si="105"/>
        <v>066</v>
      </c>
      <c r="C329" t="str">
        <f t="shared" si="106"/>
        <v>3010106</v>
      </c>
      <c r="D329" t="str">
        <f t="shared" si="107"/>
        <v>03</v>
      </c>
      <c r="E329" t="str">
        <f t="shared" si="108"/>
        <v>640100</v>
      </c>
      <c r="F329" t="str">
        <f>"11/30/16"</f>
        <v>11/30/16</v>
      </c>
      <c r="G329" t="str">
        <f>"3438723-47"</f>
        <v>3438723-47</v>
      </c>
      <c r="H329" s="3">
        <v>2400</v>
      </c>
      <c r="I329" s="3"/>
      <c r="J329" t="str">
        <f t="shared" si="109"/>
        <v>E&amp;J MASONRY CO INC</v>
      </c>
      <c r="K329" t="str">
        <f>"3438723"</f>
        <v>3438723</v>
      </c>
      <c r="L329" s="2" t="str">
        <f>"MPA-52 FY17 MASON REGULAR HOURLY RATE"</f>
        <v>MPA-52 FY17 MASON REGULAR HOURLY RATE</v>
      </c>
      <c r="M329" t="str">
        <f>"MFUSCO"</f>
        <v>MFUSCO</v>
      </c>
    </row>
    <row r="330" spans="1:13" x14ac:dyDescent="0.25">
      <c r="A330" t="str">
        <f t="shared" si="104"/>
        <v>10</v>
      </c>
      <c r="B330" t="str">
        <f t="shared" si="105"/>
        <v>066</v>
      </c>
      <c r="C330" t="str">
        <f t="shared" si="106"/>
        <v>3010106</v>
      </c>
      <c r="D330" t="str">
        <f t="shared" si="107"/>
        <v>03</v>
      </c>
      <c r="E330" t="str">
        <f t="shared" si="108"/>
        <v>640100</v>
      </c>
      <c r="F330" t="str">
        <f>"11/30/16"</f>
        <v>11/30/16</v>
      </c>
      <c r="G330" t="str">
        <f>"3438723-47"</f>
        <v>3438723-47</v>
      </c>
      <c r="H330" s="3">
        <v>2040</v>
      </c>
      <c r="I330" s="3"/>
      <c r="J330" t="str">
        <f t="shared" si="109"/>
        <v>E&amp;J MASONRY CO INC</v>
      </c>
      <c r="K330" t="str">
        <f>"3438723"</f>
        <v>3438723</v>
      </c>
      <c r="L330" s="2" t="str">
        <f>"MPA-52 10/1/15 - 9/30/16 LABORER REGULAR HOURLY RATE"</f>
        <v>MPA-52 10/1/15 - 9/30/16 LABORER REGULAR HOURLY RATE</v>
      </c>
      <c r="M330" t="str">
        <f>"MFUSCO"</f>
        <v>MFUSCO</v>
      </c>
    </row>
    <row r="331" spans="1:13" x14ac:dyDescent="0.25">
      <c r="H331" s="6">
        <f>SUM(H325:H330)</f>
        <v>7041</v>
      </c>
      <c r="I331" s="6">
        <f>SUM(H325:H330)</f>
        <v>7041</v>
      </c>
      <c r="L331" s="2"/>
      <c r="M331" t="str">
        <f>"MFUSCO"</f>
        <v>MFUSCO</v>
      </c>
    </row>
    <row r="332" spans="1:13" x14ac:dyDescent="0.25">
      <c r="H332" s="3"/>
      <c r="I332" s="3"/>
      <c r="L332" s="2"/>
    </row>
    <row r="333" spans="1:13" x14ac:dyDescent="0.25">
      <c r="A333" t="str">
        <f t="shared" ref="A333:A357" si="110">"10"</f>
        <v>10</v>
      </c>
      <c r="B333" t="str">
        <f t="shared" ref="B333:B357" si="111">"066"</f>
        <v>066</v>
      </c>
      <c r="C333" t="str">
        <f t="shared" ref="C333:C357" si="112">"3010106"</f>
        <v>3010106</v>
      </c>
      <c r="D333" t="str">
        <f t="shared" ref="D333:D357" si="113">"03"</f>
        <v>03</v>
      </c>
      <c r="E333" t="str">
        <f>"640100"</f>
        <v>640100</v>
      </c>
      <c r="F333" t="str">
        <f>"05/31/17"</f>
        <v>05/31/17</v>
      </c>
      <c r="G333" t="str">
        <f>"078860"</f>
        <v>078860</v>
      </c>
      <c r="H333" s="3">
        <v>1845</v>
      </c>
      <c r="I333" s="3"/>
      <c r="J333" t="str">
        <f t="shared" ref="J333:J357" si="114">"ECONOTEL BUSINESS SYSTEMS"</f>
        <v>ECONOTEL BUSINESS SYSTEMS</v>
      </c>
      <c r="K333" t="str">
        <f>"3492923"</f>
        <v>3492923</v>
      </c>
      <c r="L333" s="2" t="str">
        <f>"SHO-10497 SHORETEL IP PHONE IP480G 10/100/1000"</f>
        <v>SHO-10497 SHORETEL IP PHONE IP480G 10/100/1000</v>
      </c>
    </row>
    <row r="334" spans="1:13" ht="30" x14ac:dyDescent="0.25">
      <c r="A334" t="str">
        <f t="shared" si="110"/>
        <v>10</v>
      </c>
      <c r="B334" t="str">
        <f t="shared" si="111"/>
        <v>066</v>
      </c>
      <c r="C334" t="str">
        <f t="shared" si="112"/>
        <v>3010106</v>
      </c>
      <c r="D334" t="str">
        <f t="shared" si="113"/>
        <v>03</v>
      </c>
      <c r="E334" t="str">
        <f>"640100"</f>
        <v>640100</v>
      </c>
      <c r="F334" t="str">
        <f>"07/31/15"</f>
        <v>07/31/15</v>
      </c>
      <c r="G334" t="str">
        <f>"076676"</f>
        <v>076676</v>
      </c>
      <c r="H334" s="3">
        <v>256.72000000000003</v>
      </c>
      <c r="I334" s="3"/>
      <c r="J334" t="str">
        <f t="shared" si="114"/>
        <v>ECONOTEL BUSINESS SYSTEMS</v>
      </c>
      <c r="K334" t="str">
        <f>""</f>
        <v/>
      </c>
      <c r="L334" s="2" t="str">
        <f>"INV: 076676 - EXCESS CHARGES FOR NECESSARY WORK THAT NEEDED TO BE MADE TO THE PHONE SYSTEM TO SUPPORT THE MOVES TO 180 SOUTH MAIN STREET BUILDING"</f>
        <v>INV: 076676 - EXCESS CHARGES FOR NECESSARY WORK THAT NEEDED TO BE MADE TO THE PHONE SYSTEM TO SUPPORT THE MOVES TO 180 SOUTH MAIN STREET BUILDING</v>
      </c>
      <c r="M334" t="str">
        <f t="shared" ref="M334:M358" si="115">"SVALLANT"</f>
        <v>SVALLANT</v>
      </c>
    </row>
    <row r="335" spans="1:13" ht="30" x14ac:dyDescent="0.25">
      <c r="A335" t="str">
        <f t="shared" si="110"/>
        <v>10</v>
      </c>
      <c r="B335" t="str">
        <f t="shared" si="111"/>
        <v>066</v>
      </c>
      <c r="C335" t="str">
        <f t="shared" si="112"/>
        <v>3010106</v>
      </c>
      <c r="D335" t="str">
        <f t="shared" si="113"/>
        <v>03</v>
      </c>
      <c r="E335" t="str">
        <f>"640100"</f>
        <v>640100</v>
      </c>
      <c r="F335" t="str">
        <f>"07/31/15"</f>
        <v>07/31/15</v>
      </c>
      <c r="G335" t="str">
        <f>"076714"</f>
        <v>076714</v>
      </c>
      <c r="H335" s="3">
        <v>313.82</v>
      </c>
      <c r="I335" s="3"/>
      <c r="J335" t="str">
        <f t="shared" si="114"/>
        <v>ECONOTEL BUSINESS SYSTEMS</v>
      </c>
      <c r="K335" t="str">
        <f>""</f>
        <v/>
      </c>
      <c r="L335" s="2" t="str">
        <f>"INV: 076714 - EXCESS CHARGES FOR NECESSARY WORK THAT NEEDED TO BE MADE TO THE PHONE SYSTEM TO SUPPORT THE MOVES TO 180 SOUTH MAIN STREET BUILDING"</f>
        <v>INV: 076714 - EXCESS CHARGES FOR NECESSARY WORK THAT NEEDED TO BE MADE TO THE PHONE SYSTEM TO SUPPORT THE MOVES TO 180 SOUTH MAIN STREET BUILDING</v>
      </c>
      <c r="M335" t="str">
        <f t="shared" si="115"/>
        <v>SVALLANT</v>
      </c>
    </row>
    <row r="336" spans="1:13" ht="30" x14ac:dyDescent="0.25">
      <c r="A336" t="str">
        <f t="shared" si="110"/>
        <v>10</v>
      </c>
      <c r="B336" t="str">
        <f t="shared" si="111"/>
        <v>066</v>
      </c>
      <c r="C336" t="str">
        <f t="shared" si="112"/>
        <v>3010106</v>
      </c>
      <c r="D336" t="str">
        <f t="shared" si="113"/>
        <v>03</v>
      </c>
      <c r="E336" t="str">
        <f>"640100"</f>
        <v>640100</v>
      </c>
      <c r="F336" t="str">
        <f>"07/31/15"</f>
        <v>07/31/15</v>
      </c>
      <c r="G336" t="str">
        <f>"076744"</f>
        <v>076744</v>
      </c>
      <c r="H336" s="4">
        <v>140</v>
      </c>
      <c r="I336" s="3"/>
      <c r="J336" t="str">
        <f t="shared" si="114"/>
        <v>ECONOTEL BUSINESS SYSTEMS</v>
      </c>
      <c r="K336" t="str">
        <f>""</f>
        <v/>
      </c>
      <c r="L336" s="2" t="str">
        <f>"INV: 076744 - EXCESS CHARGES FOR NECESSARY WORK THAT NEEDED TO BE MADE TO THE PHONE SYSTEM TO SUPPORT THE MOVES TO 180 SOUTH MAIN STREET BUILDING"</f>
        <v>INV: 076744 - EXCESS CHARGES FOR NECESSARY WORK THAT NEEDED TO BE MADE TO THE PHONE SYSTEM TO SUPPORT THE MOVES TO 180 SOUTH MAIN STREET BUILDING</v>
      </c>
      <c r="M336" t="str">
        <f t="shared" si="115"/>
        <v>SVALLANT</v>
      </c>
    </row>
    <row r="337" spans="1:13" x14ac:dyDescent="0.25">
      <c r="A337" t="str">
        <f t="shared" si="110"/>
        <v>10</v>
      </c>
      <c r="B337" t="str">
        <f t="shared" si="111"/>
        <v>066</v>
      </c>
      <c r="C337" t="str">
        <f t="shared" si="112"/>
        <v>3010106</v>
      </c>
      <c r="D337" t="str">
        <f t="shared" si="113"/>
        <v>03</v>
      </c>
      <c r="E337" t="str">
        <f>"640100"</f>
        <v>640100</v>
      </c>
      <c r="F337" t="str">
        <f>"11/30/16"</f>
        <v>11/30/16</v>
      </c>
      <c r="G337" t="str">
        <f>"078366"</f>
        <v>078366</v>
      </c>
      <c r="H337" s="4">
        <v>280</v>
      </c>
      <c r="I337" s="3"/>
      <c r="J337" t="str">
        <f t="shared" si="114"/>
        <v>ECONOTEL BUSINESS SYSTEMS</v>
      </c>
      <c r="K337" t="str">
        <f>""</f>
        <v/>
      </c>
      <c r="L337" s="2" t="str">
        <f>"CLEAN UP WIRING IN BACKROOM"</f>
        <v>CLEAN UP WIRING IN BACKROOM</v>
      </c>
      <c r="M337" t="str">
        <f t="shared" si="115"/>
        <v>SVALLANT</v>
      </c>
    </row>
    <row r="338" spans="1:13" ht="30" x14ac:dyDescent="0.25">
      <c r="A338" t="str">
        <f t="shared" si="110"/>
        <v>10</v>
      </c>
      <c r="B338" t="str">
        <f t="shared" si="111"/>
        <v>066</v>
      </c>
      <c r="C338" t="str">
        <f t="shared" si="112"/>
        <v>3010106</v>
      </c>
      <c r="D338" t="str">
        <f t="shared" si="113"/>
        <v>03</v>
      </c>
      <c r="E338" t="str">
        <f t="shared" ref="E338:E357" si="116">"661605"</f>
        <v>661605</v>
      </c>
      <c r="F338" t="str">
        <f>"01/31/17"</f>
        <v>01/31/17</v>
      </c>
      <c r="G338" t="str">
        <f>"077448"</f>
        <v>077448</v>
      </c>
      <c r="H338" s="4">
        <v>450</v>
      </c>
      <c r="I338" s="3"/>
      <c r="J338" t="str">
        <f t="shared" si="114"/>
        <v>ECONOTEL BUSINESS SYSTEMS</v>
      </c>
      <c r="K338" t="str">
        <f t="shared" ref="K338:K357" si="117">"3395173"</f>
        <v>3395173</v>
      </c>
      <c r="L338" s="2" t="str">
        <f>"APA-14488-10/1/14 -10/31/17 - DESIGN AND IMPLEMENT NEW VoIP SYSTEM FOR THE DEPARTMENT OF ATTORNEY GENERAL"</f>
        <v>APA-14488-10/1/14 -10/31/17 - DESIGN AND IMPLEMENT NEW VoIP SYSTEM FOR THE DEPARTMENT OF ATTORNEY GENERAL</v>
      </c>
      <c r="M338" t="str">
        <f t="shared" si="115"/>
        <v>SVALLANT</v>
      </c>
    </row>
    <row r="339" spans="1:13" ht="30" x14ac:dyDescent="0.25">
      <c r="A339" t="str">
        <f t="shared" si="110"/>
        <v>10</v>
      </c>
      <c r="B339" t="str">
        <f t="shared" si="111"/>
        <v>066</v>
      </c>
      <c r="C339" t="str">
        <f t="shared" si="112"/>
        <v>3010106</v>
      </c>
      <c r="D339" t="str">
        <f t="shared" si="113"/>
        <v>03</v>
      </c>
      <c r="E339" t="str">
        <f t="shared" si="116"/>
        <v>661605</v>
      </c>
      <c r="F339" t="str">
        <f>"01/31/17"</f>
        <v>01/31/17</v>
      </c>
      <c r="G339" t="str">
        <f>"077593"</f>
        <v>077593</v>
      </c>
      <c r="H339" s="4">
        <v>4702.9399999999996</v>
      </c>
      <c r="I339" s="3"/>
      <c r="J339" t="str">
        <f t="shared" si="114"/>
        <v>ECONOTEL BUSINESS SYSTEMS</v>
      </c>
      <c r="K339" t="str">
        <f t="shared" si="117"/>
        <v>3395173</v>
      </c>
      <c r="L339" s="2" t="str">
        <f>"APA-14488-10/1/14 -10/31/17 - DESIGN AND IMPLEMENT NEW VoIP SYSTEM FOR THE DEPARTMENT OF ATTORNEY GENERAL"</f>
        <v>APA-14488-10/1/14 -10/31/17 - DESIGN AND IMPLEMENT NEW VoIP SYSTEM FOR THE DEPARTMENT OF ATTORNEY GENERAL</v>
      </c>
      <c r="M339" t="str">
        <f t="shared" si="115"/>
        <v>SVALLANT</v>
      </c>
    </row>
    <row r="340" spans="1:13" ht="30" x14ac:dyDescent="0.25">
      <c r="A340" t="str">
        <f t="shared" si="110"/>
        <v>10</v>
      </c>
      <c r="B340" t="str">
        <f t="shared" si="111"/>
        <v>066</v>
      </c>
      <c r="C340" t="str">
        <f t="shared" si="112"/>
        <v>3010106</v>
      </c>
      <c r="D340" t="str">
        <f t="shared" si="113"/>
        <v>03</v>
      </c>
      <c r="E340" t="str">
        <f t="shared" si="116"/>
        <v>661605</v>
      </c>
      <c r="F340" t="str">
        <f>"02/28/15"</f>
        <v>02/28/15</v>
      </c>
      <c r="G340" t="str">
        <f>"076118"</f>
        <v>076118</v>
      </c>
      <c r="H340" s="4">
        <v>40527.35</v>
      </c>
      <c r="I340" s="3"/>
      <c r="J340" t="str">
        <f t="shared" si="114"/>
        <v>ECONOTEL BUSINESS SYSTEMS</v>
      </c>
      <c r="K340" t="str">
        <f t="shared" si="117"/>
        <v>3395173</v>
      </c>
      <c r="L340" s="2" t="str">
        <f>"APA-14488-10/1/14 -10/31/17 - DESIGN AND IMPLEMENT NEW VoIP SYSTEM FOR THE DEPARTMENT OF ATTORNEY GENERAL"</f>
        <v>APA-14488-10/1/14 -10/31/17 - DESIGN AND IMPLEMENT NEW VoIP SYSTEM FOR THE DEPARTMENT OF ATTORNEY GENERAL</v>
      </c>
      <c r="M340" t="str">
        <f t="shared" si="115"/>
        <v>SVALLANT</v>
      </c>
    </row>
    <row r="341" spans="1:13" ht="30" x14ac:dyDescent="0.25">
      <c r="A341" t="str">
        <f t="shared" si="110"/>
        <v>10</v>
      </c>
      <c r="B341" t="str">
        <f t="shared" si="111"/>
        <v>066</v>
      </c>
      <c r="C341" t="str">
        <f t="shared" si="112"/>
        <v>3010106</v>
      </c>
      <c r="D341" t="str">
        <f t="shared" si="113"/>
        <v>03</v>
      </c>
      <c r="E341" t="str">
        <f t="shared" si="116"/>
        <v>661605</v>
      </c>
      <c r="F341" t="str">
        <f>"02/28/15"</f>
        <v>02/28/15</v>
      </c>
      <c r="G341" t="str">
        <f>"076118"</f>
        <v>076118</v>
      </c>
      <c r="H341" s="4">
        <v>-45478.13</v>
      </c>
      <c r="I341" s="3"/>
      <c r="J341" t="str">
        <f t="shared" si="114"/>
        <v>ECONOTEL BUSINESS SYSTEMS</v>
      </c>
      <c r="K341" t="str">
        <f t="shared" si="117"/>
        <v>3395173</v>
      </c>
      <c r="L341" s="2" t="str">
        <f>"APA-14488-10/1/14 -10/31/17 - DESIGN AND IMPLEMENT NEW VoIP SYSTEM FOR THE DEPARTMENT OF ATTORNEY GENERAL"</f>
        <v>APA-14488-10/1/14 -10/31/17 - DESIGN AND IMPLEMENT NEW VoIP SYSTEM FOR THE DEPARTMENT OF ATTORNEY GENERAL</v>
      </c>
      <c r="M341" t="str">
        <f t="shared" si="115"/>
        <v>SVALLANT</v>
      </c>
    </row>
    <row r="342" spans="1:13" ht="30" x14ac:dyDescent="0.25">
      <c r="A342" t="str">
        <f t="shared" si="110"/>
        <v>10</v>
      </c>
      <c r="B342" t="str">
        <f t="shared" si="111"/>
        <v>066</v>
      </c>
      <c r="C342" t="str">
        <f t="shared" si="112"/>
        <v>3010106</v>
      </c>
      <c r="D342" t="str">
        <f t="shared" si="113"/>
        <v>03</v>
      </c>
      <c r="E342" t="str">
        <f t="shared" si="116"/>
        <v>661605</v>
      </c>
      <c r="F342" t="str">
        <f>"02/28/15"</f>
        <v>02/28/15</v>
      </c>
      <c r="G342" t="str">
        <f>"076118"</f>
        <v>076118</v>
      </c>
      <c r="H342" s="4">
        <v>2194.61</v>
      </c>
      <c r="I342" s="3"/>
      <c r="J342" t="str">
        <f t="shared" si="114"/>
        <v>ECONOTEL BUSINESS SYSTEMS</v>
      </c>
      <c r="K342" t="str">
        <f t="shared" si="117"/>
        <v>3395173</v>
      </c>
      <c r="L342" s="2" t="str">
        <f>"APA-14488 -10/1/14 -10/31/17 - NECESSARY CABLING AT VARIOUS LOCATIONS TO IMPLEMENT A NEW VoIP SYSTEM PER THE ATTACHED QUOTATION - NOT TO EXCEED $10,973.04."</f>
        <v>APA-14488 -10/1/14 -10/31/17 - NECESSARY CABLING AT VARIOUS LOCATIONS TO IMPLEMENT A NEW VoIP SYSTEM PER THE ATTACHED QUOTATION - NOT TO EXCEED $10,973.04.</v>
      </c>
      <c r="M342" t="str">
        <f t="shared" si="115"/>
        <v>SVALLANT</v>
      </c>
    </row>
    <row r="343" spans="1:13" ht="30" x14ac:dyDescent="0.25">
      <c r="A343" t="str">
        <f t="shared" si="110"/>
        <v>10</v>
      </c>
      <c r="B343" t="str">
        <f t="shared" si="111"/>
        <v>066</v>
      </c>
      <c r="C343" t="str">
        <f t="shared" si="112"/>
        <v>3010106</v>
      </c>
      <c r="D343" t="str">
        <f t="shared" si="113"/>
        <v>03</v>
      </c>
      <c r="E343" t="str">
        <f t="shared" si="116"/>
        <v>661605</v>
      </c>
      <c r="F343" t="str">
        <f>"02/28/15"</f>
        <v>02/28/15</v>
      </c>
      <c r="G343" t="str">
        <f>"076118"</f>
        <v>076118</v>
      </c>
      <c r="H343" s="4">
        <v>2756.17</v>
      </c>
      <c r="I343" s="3"/>
      <c r="J343" t="str">
        <f t="shared" si="114"/>
        <v>ECONOTEL BUSINESS SYSTEMS</v>
      </c>
      <c r="K343" t="str">
        <f t="shared" si="117"/>
        <v>3395173</v>
      </c>
      <c r="L343" s="2" t="str">
        <f>"APA-14488 -10/1/14 -10/31/17 - REVISIONS TO REQUIREMENTS FOR HARDWARE AND SOFTWARE PER THE ATTACHED QUOTATION - NOT TO EXCEED $13,780.87."</f>
        <v>APA-14488 -10/1/14 -10/31/17 - REVISIONS TO REQUIREMENTS FOR HARDWARE AND SOFTWARE PER THE ATTACHED QUOTATION - NOT TO EXCEED $13,780.87.</v>
      </c>
      <c r="M343" t="str">
        <f t="shared" si="115"/>
        <v>SVALLANT</v>
      </c>
    </row>
    <row r="344" spans="1:13" ht="30" x14ac:dyDescent="0.25">
      <c r="A344" t="str">
        <f t="shared" si="110"/>
        <v>10</v>
      </c>
      <c r="B344" t="str">
        <f t="shared" si="111"/>
        <v>066</v>
      </c>
      <c r="C344" t="str">
        <f t="shared" si="112"/>
        <v>3010106</v>
      </c>
      <c r="D344" t="str">
        <f t="shared" si="113"/>
        <v>03</v>
      </c>
      <c r="E344" t="str">
        <f t="shared" si="116"/>
        <v>661605</v>
      </c>
      <c r="F344" t="str">
        <f>"02/28/15"</f>
        <v>02/28/15</v>
      </c>
      <c r="G344" t="str">
        <f>"076118"</f>
        <v>076118</v>
      </c>
      <c r="H344" s="4">
        <v>45478.13</v>
      </c>
      <c r="I344" s="3"/>
      <c r="J344" t="str">
        <f t="shared" si="114"/>
        <v>ECONOTEL BUSINESS SYSTEMS</v>
      </c>
      <c r="K344" t="str">
        <f t="shared" si="117"/>
        <v>3395173</v>
      </c>
      <c r="L344" s="2" t="str">
        <f>"APA-14488-10/1/14 -10/31/17 - DESIGN AND IMPLEMENT NEW VoIP SYSTEM FOR THE DEPARTMENT OF ATTORNEY GENERAL"</f>
        <v>APA-14488-10/1/14 -10/31/17 - DESIGN AND IMPLEMENT NEW VoIP SYSTEM FOR THE DEPARTMENT OF ATTORNEY GENERAL</v>
      </c>
      <c r="M344" t="str">
        <f t="shared" si="115"/>
        <v>SVALLANT</v>
      </c>
    </row>
    <row r="345" spans="1:13" ht="30" x14ac:dyDescent="0.25">
      <c r="A345" t="str">
        <f t="shared" si="110"/>
        <v>10</v>
      </c>
      <c r="B345" t="str">
        <f t="shared" si="111"/>
        <v>066</v>
      </c>
      <c r="C345" t="str">
        <f t="shared" si="112"/>
        <v>3010106</v>
      </c>
      <c r="D345" t="str">
        <f t="shared" si="113"/>
        <v>03</v>
      </c>
      <c r="E345" t="str">
        <f t="shared" si="116"/>
        <v>661605</v>
      </c>
      <c r="F345" t="str">
        <f>"06/30/15"</f>
        <v>06/30/15</v>
      </c>
      <c r="G345" t="str">
        <f>"076455"</f>
        <v>076455</v>
      </c>
      <c r="H345" s="4">
        <v>40527.35</v>
      </c>
      <c r="I345" s="3"/>
      <c r="J345" t="str">
        <f t="shared" si="114"/>
        <v>ECONOTEL BUSINESS SYSTEMS</v>
      </c>
      <c r="K345" t="str">
        <f t="shared" si="117"/>
        <v>3395173</v>
      </c>
      <c r="L345" s="2" t="str">
        <f>"APA-14488-10/1/14 -10/31/17 - DESIGN AND IMPLEMENT NEW VoIP SYSTEM FOR THE DEPARTMENT OF ATTORNEY GENERAL"</f>
        <v>APA-14488-10/1/14 -10/31/17 - DESIGN AND IMPLEMENT NEW VoIP SYSTEM FOR THE DEPARTMENT OF ATTORNEY GENERAL</v>
      </c>
      <c r="M345" t="str">
        <f t="shared" si="115"/>
        <v>SVALLANT</v>
      </c>
    </row>
    <row r="346" spans="1:13" ht="30" x14ac:dyDescent="0.25">
      <c r="A346" t="str">
        <f t="shared" si="110"/>
        <v>10</v>
      </c>
      <c r="B346" t="str">
        <f t="shared" si="111"/>
        <v>066</v>
      </c>
      <c r="C346" t="str">
        <f t="shared" si="112"/>
        <v>3010106</v>
      </c>
      <c r="D346" t="str">
        <f t="shared" si="113"/>
        <v>03</v>
      </c>
      <c r="E346" t="str">
        <f t="shared" si="116"/>
        <v>661605</v>
      </c>
      <c r="F346" t="str">
        <f>"06/30/15"</f>
        <v>06/30/15</v>
      </c>
      <c r="G346" t="str">
        <f>"076455"</f>
        <v>076455</v>
      </c>
      <c r="H346" s="4">
        <v>2194.61</v>
      </c>
      <c r="I346" s="3"/>
      <c r="J346" t="str">
        <f t="shared" si="114"/>
        <v>ECONOTEL BUSINESS SYSTEMS</v>
      </c>
      <c r="K346" t="str">
        <f t="shared" si="117"/>
        <v>3395173</v>
      </c>
      <c r="L346" s="2" t="str">
        <f>"APA-14488 -10/1/14 -10/31/17 - NECESSARY CABLING AT VARIOUS LOCATIONS TO IMPLEMENT A NEW VoIP SYSTEM PER THE ATTACHED QUOTATION - NOT TO EXCEED $10,973.04."</f>
        <v>APA-14488 -10/1/14 -10/31/17 - NECESSARY CABLING AT VARIOUS LOCATIONS TO IMPLEMENT A NEW VoIP SYSTEM PER THE ATTACHED QUOTATION - NOT TO EXCEED $10,973.04.</v>
      </c>
      <c r="M346" t="str">
        <f t="shared" si="115"/>
        <v>SVALLANT</v>
      </c>
    </row>
    <row r="347" spans="1:13" ht="30" x14ac:dyDescent="0.25">
      <c r="A347" t="str">
        <f t="shared" si="110"/>
        <v>10</v>
      </c>
      <c r="B347" t="str">
        <f t="shared" si="111"/>
        <v>066</v>
      </c>
      <c r="C347" t="str">
        <f t="shared" si="112"/>
        <v>3010106</v>
      </c>
      <c r="D347" t="str">
        <f t="shared" si="113"/>
        <v>03</v>
      </c>
      <c r="E347" t="str">
        <f t="shared" si="116"/>
        <v>661605</v>
      </c>
      <c r="F347" t="str">
        <f>"06/30/15"</f>
        <v>06/30/15</v>
      </c>
      <c r="G347" t="str">
        <f>"076455"</f>
        <v>076455</v>
      </c>
      <c r="H347" s="4">
        <v>2756.17</v>
      </c>
      <c r="I347" s="3"/>
      <c r="J347" t="str">
        <f t="shared" si="114"/>
        <v>ECONOTEL BUSINESS SYSTEMS</v>
      </c>
      <c r="K347" t="str">
        <f t="shared" si="117"/>
        <v>3395173</v>
      </c>
      <c r="L347" s="2" t="str">
        <f>"APA-14488 -10/1/14 -10/31/17 - REVISIONS TO REQUIREMENTS FOR HARDWARE AND SOFTWARE PER THE ATTACHED QUOTATION - NOT TO EXCEED $13,780.87."</f>
        <v>APA-14488 -10/1/14 -10/31/17 - REVISIONS TO REQUIREMENTS FOR HARDWARE AND SOFTWARE PER THE ATTACHED QUOTATION - NOT TO EXCEED $13,780.87.</v>
      </c>
      <c r="M347" t="str">
        <f t="shared" si="115"/>
        <v>SVALLANT</v>
      </c>
    </row>
    <row r="348" spans="1:13" ht="30" x14ac:dyDescent="0.25">
      <c r="A348" t="str">
        <f t="shared" si="110"/>
        <v>10</v>
      </c>
      <c r="B348" t="str">
        <f t="shared" si="111"/>
        <v>066</v>
      </c>
      <c r="C348" t="str">
        <f t="shared" si="112"/>
        <v>3010106</v>
      </c>
      <c r="D348" t="str">
        <f t="shared" si="113"/>
        <v>03</v>
      </c>
      <c r="E348" t="str">
        <f t="shared" si="116"/>
        <v>661605</v>
      </c>
      <c r="F348" t="str">
        <f>"09/30/15"</f>
        <v>09/30/15</v>
      </c>
      <c r="G348" t="str">
        <f>"076885"</f>
        <v>076885</v>
      </c>
      <c r="H348" s="4">
        <v>22739.07</v>
      </c>
      <c r="I348" s="3"/>
      <c r="J348" t="str">
        <f t="shared" si="114"/>
        <v>ECONOTEL BUSINESS SYSTEMS</v>
      </c>
      <c r="K348" t="str">
        <f t="shared" si="117"/>
        <v>3395173</v>
      </c>
      <c r="L348" s="2" t="str">
        <f>"APA-14488-10/1/14 -10/31/17 - DESIGN AND IMPLEMENT NEW VoIP SYSTEM FOR THE DEPARTMENT OF ATTORNEY GENERAL"</f>
        <v>APA-14488-10/1/14 -10/31/17 - DESIGN AND IMPLEMENT NEW VoIP SYSTEM FOR THE DEPARTMENT OF ATTORNEY GENERAL</v>
      </c>
      <c r="M348" t="str">
        <f t="shared" si="115"/>
        <v>SVALLANT</v>
      </c>
    </row>
    <row r="349" spans="1:13" ht="30" x14ac:dyDescent="0.25">
      <c r="A349" t="str">
        <f t="shared" si="110"/>
        <v>10</v>
      </c>
      <c r="B349" t="str">
        <f t="shared" si="111"/>
        <v>066</v>
      </c>
      <c r="C349" t="str">
        <f t="shared" si="112"/>
        <v>3010106</v>
      </c>
      <c r="D349" t="str">
        <f t="shared" si="113"/>
        <v>03</v>
      </c>
      <c r="E349" t="str">
        <f t="shared" si="116"/>
        <v>661605</v>
      </c>
      <c r="F349" t="str">
        <f>"11/30/14"</f>
        <v>11/30/14</v>
      </c>
      <c r="G349" t="str">
        <f>"075952"</f>
        <v>075952</v>
      </c>
      <c r="H349" s="4">
        <v>5486.52</v>
      </c>
      <c r="I349" s="3"/>
      <c r="J349" t="str">
        <f t="shared" si="114"/>
        <v>ECONOTEL BUSINESS SYSTEMS</v>
      </c>
      <c r="K349" t="str">
        <f t="shared" si="117"/>
        <v>3395173</v>
      </c>
      <c r="L349" s="2" t="str">
        <f>"APA-14488 -10/1/14 -10/31/17 - NECESSARY CABLING AT VARIOUS LOCATIONS TO IMPLEMENT A NEW VoIP SYSTEM PER THE ATTACHED QUOTATION - NOT TO EXCEED $10,973.04."</f>
        <v>APA-14488 -10/1/14 -10/31/17 - NECESSARY CABLING AT VARIOUS LOCATIONS TO IMPLEMENT A NEW VoIP SYSTEM PER THE ATTACHED QUOTATION - NOT TO EXCEED $10,973.04.</v>
      </c>
      <c r="M349" t="str">
        <f t="shared" si="115"/>
        <v>SVALLANT</v>
      </c>
    </row>
    <row r="350" spans="1:13" ht="30" x14ac:dyDescent="0.25">
      <c r="A350" t="str">
        <f t="shared" si="110"/>
        <v>10</v>
      </c>
      <c r="B350" t="str">
        <f t="shared" si="111"/>
        <v>066</v>
      </c>
      <c r="C350" t="str">
        <f t="shared" si="112"/>
        <v>3010106</v>
      </c>
      <c r="D350" t="str">
        <f t="shared" si="113"/>
        <v>03</v>
      </c>
      <c r="E350" t="str">
        <f t="shared" si="116"/>
        <v>661605</v>
      </c>
      <c r="F350" t="str">
        <f>"11/30/14"</f>
        <v>11/30/14</v>
      </c>
      <c r="G350" t="str">
        <f>"075952"</f>
        <v>075952</v>
      </c>
      <c r="H350" s="4">
        <v>101318.38</v>
      </c>
      <c r="I350" s="3"/>
      <c r="J350" t="str">
        <f t="shared" si="114"/>
        <v>ECONOTEL BUSINESS SYSTEMS</v>
      </c>
      <c r="K350" t="str">
        <f t="shared" si="117"/>
        <v>3395173</v>
      </c>
      <c r="L350" s="2" t="str">
        <f>"APA-14488-10/1/14 -10/31/17 - DESIGN AND IMPLEMENT NEW VoIP SYSTEM FOR THE DEPARTMENT OF ATTORNEY GENERAL"</f>
        <v>APA-14488-10/1/14 -10/31/17 - DESIGN AND IMPLEMENT NEW VoIP SYSTEM FOR THE DEPARTMENT OF ATTORNEY GENERAL</v>
      </c>
      <c r="M350" t="str">
        <f t="shared" si="115"/>
        <v>SVALLANT</v>
      </c>
    </row>
    <row r="351" spans="1:13" ht="30" x14ac:dyDescent="0.25">
      <c r="A351" t="str">
        <f t="shared" si="110"/>
        <v>10</v>
      </c>
      <c r="B351" t="str">
        <f t="shared" si="111"/>
        <v>066</v>
      </c>
      <c r="C351" t="str">
        <f t="shared" si="112"/>
        <v>3010106</v>
      </c>
      <c r="D351" t="str">
        <f t="shared" si="113"/>
        <v>03</v>
      </c>
      <c r="E351" t="str">
        <f t="shared" si="116"/>
        <v>661605</v>
      </c>
      <c r="F351" t="str">
        <f>"11/30/14"</f>
        <v>11/30/14</v>
      </c>
      <c r="G351" t="str">
        <f>"075952"</f>
        <v>075952</v>
      </c>
      <c r="H351" s="4">
        <v>6890.44</v>
      </c>
      <c r="I351" s="3"/>
      <c r="J351" t="str">
        <f t="shared" si="114"/>
        <v>ECONOTEL BUSINESS SYSTEMS</v>
      </c>
      <c r="K351" t="str">
        <f t="shared" si="117"/>
        <v>3395173</v>
      </c>
      <c r="L351" s="2" t="str">
        <f>"APA-14488 -10/1/14 -10/31/17 - REVISIONS TO REQUIREMENTS FOR HARDWARE AND SOFTWARE PER THE ATTACHED QUOTATION - NOT TO EXCEED $13,780.87."</f>
        <v>APA-14488 -10/1/14 -10/31/17 - REVISIONS TO REQUIREMENTS FOR HARDWARE AND SOFTWARE PER THE ATTACHED QUOTATION - NOT TO EXCEED $13,780.87.</v>
      </c>
      <c r="M351" t="str">
        <f t="shared" si="115"/>
        <v>SVALLANT</v>
      </c>
    </row>
    <row r="352" spans="1:13" ht="30" x14ac:dyDescent="0.25">
      <c r="A352" t="str">
        <f t="shared" si="110"/>
        <v>10</v>
      </c>
      <c r="B352" t="str">
        <f t="shared" si="111"/>
        <v>066</v>
      </c>
      <c r="C352" t="str">
        <f t="shared" si="112"/>
        <v>3010106</v>
      </c>
      <c r="D352" t="str">
        <f t="shared" si="113"/>
        <v>03</v>
      </c>
      <c r="E352" t="str">
        <f t="shared" si="116"/>
        <v>661605</v>
      </c>
      <c r="F352" t="str">
        <f>"11/30/15"</f>
        <v>11/30/15</v>
      </c>
      <c r="G352" t="str">
        <f>"076833"</f>
        <v>076833</v>
      </c>
      <c r="H352" s="4">
        <v>210</v>
      </c>
      <c r="I352" s="3"/>
      <c r="J352" t="str">
        <f t="shared" si="114"/>
        <v>ECONOTEL BUSINESS SYSTEMS</v>
      </c>
      <c r="K352" t="str">
        <f t="shared" si="117"/>
        <v>3395173</v>
      </c>
      <c r="L352" s="2" t="str">
        <f t="shared" ref="L352:L357" si="118">"APA-14488-10/1/14 -10/31/17 - DESIGN AND IMPLEMENT NEW VoIP SYSTEM FOR THE DEPARTMENT OF ATTORNEY GENERAL"</f>
        <v>APA-14488-10/1/14 -10/31/17 - DESIGN AND IMPLEMENT NEW VoIP SYSTEM FOR THE DEPARTMENT OF ATTORNEY GENERAL</v>
      </c>
      <c r="M352" t="str">
        <f t="shared" si="115"/>
        <v>SVALLANT</v>
      </c>
    </row>
    <row r="353" spans="1:13" ht="30" x14ac:dyDescent="0.25">
      <c r="A353" t="str">
        <f t="shared" si="110"/>
        <v>10</v>
      </c>
      <c r="B353" t="str">
        <f t="shared" si="111"/>
        <v>066</v>
      </c>
      <c r="C353" t="str">
        <f t="shared" si="112"/>
        <v>3010106</v>
      </c>
      <c r="D353" t="str">
        <f t="shared" si="113"/>
        <v>03</v>
      </c>
      <c r="E353" t="str">
        <f t="shared" si="116"/>
        <v>661605</v>
      </c>
      <c r="F353" t="str">
        <f>"11/30/15"</f>
        <v>11/30/15</v>
      </c>
      <c r="G353" t="str">
        <f>"076864"</f>
        <v>076864</v>
      </c>
      <c r="H353" s="4">
        <v>140</v>
      </c>
      <c r="I353" s="3"/>
      <c r="J353" t="str">
        <f t="shared" si="114"/>
        <v>ECONOTEL BUSINESS SYSTEMS</v>
      </c>
      <c r="K353" t="str">
        <f t="shared" si="117"/>
        <v>3395173</v>
      </c>
      <c r="L353" s="2" t="str">
        <f t="shared" si="118"/>
        <v>APA-14488-10/1/14 -10/31/17 - DESIGN AND IMPLEMENT NEW VoIP SYSTEM FOR THE DEPARTMENT OF ATTORNEY GENERAL</v>
      </c>
      <c r="M353" t="str">
        <f t="shared" si="115"/>
        <v>SVALLANT</v>
      </c>
    </row>
    <row r="354" spans="1:13" ht="30" x14ac:dyDescent="0.25">
      <c r="A354" t="str">
        <f t="shared" si="110"/>
        <v>10</v>
      </c>
      <c r="B354" t="str">
        <f t="shared" si="111"/>
        <v>066</v>
      </c>
      <c r="C354" t="str">
        <f t="shared" si="112"/>
        <v>3010106</v>
      </c>
      <c r="D354" t="str">
        <f t="shared" si="113"/>
        <v>03</v>
      </c>
      <c r="E354" t="str">
        <f t="shared" si="116"/>
        <v>661605</v>
      </c>
      <c r="F354" t="str">
        <f>"11/30/15"</f>
        <v>11/30/15</v>
      </c>
      <c r="G354" t="str">
        <f>"076915"</f>
        <v>076915</v>
      </c>
      <c r="H354" s="4">
        <v>1295</v>
      </c>
      <c r="I354" s="3"/>
      <c r="J354" t="str">
        <f t="shared" si="114"/>
        <v>ECONOTEL BUSINESS SYSTEMS</v>
      </c>
      <c r="K354" t="str">
        <f t="shared" si="117"/>
        <v>3395173</v>
      </c>
      <c r="L354" s="2" t="str">
        <f t="shared" si="118"/>
        <v>APA-14488-10/1/14 -10/31/17 - DESIGN AND IMPLEMENT NEW VoIP SYSTEM FOR THE DEPARTMENT OF ATTORNEY GENERAL</v>
      </c>
      <c r="M354" t="str">
        <f t="shared" si="115"/>
        <v>SVALLANT</v>
      </c>
    </row>
    <row r="355" spans="1:13" ht="30" x14ac:dyDescent="0.25">
      <c r="A355" t="str">
        <f t="shared" si="110"/>
        <v>10</v>
      </c>
      <c r="B355" t="str">
        <f t="shared" si="111"/>
        <v>066</v>
      </c>
      <c r="C355" t="str">
        <f t="shared" si="112"/>
        <v>3010106</v>
      </c>
      <c r="D355" t="str">
        <f t="shared" si="113"/>
        <v>03</v>
      </c>
      <c r="E355" t="str">
        <f t="shared" si="116"/>
        <v>661605</v>
      </c>
      <c r="F355" t="str">
        <f>"11/30/15"</f>
        <v>11/30/15</v>
      </c>
      <c r="G355" t="str">
        <f>"077222"</f>
        <v>077222</v>
      </c>
      <c r="H355" s="4">
        <v>245</v>
      </c>
      <c r="I355" s="3"/>
      <c r="J355" t="str">
        <f t="shared" si="114"/>
        <v>ECONOTEL BUSINESS SYSTEMS</v>
      </c>
      <c r="K355" t="str">
        <f t="shared" si="117"/>
        <v>3395173</v>
      </c>
      <c r="L355" s="2" t="str">
        <f t="shared" si="118"/>
        <v>APA-14488-10/1/14 -10/31/17 - DESIGN AND IMPLEMENT NEW VoIP SYSTEM FOR THE DEPARTMENT OF ATTORNEY GENERAL</v>
      </c>
      <c r="M355" t="str">
        <f t="shared" si="115"/>
        <v>SVALLANT</v>
      </c>
    </row>
    <row r="356" spans="1:13" ht="30" x14ac:dyDescent="0.25">
      <c r="A356" t="str">
        <f t="shared" si="110"/>
        <v>10</v>
      </c>
      <c r="B356" t="str">
        <f t="shared" si="111"/>
        <v>066</v>
      </c>
      <c r="C356" t="str">
        <f t="shared" si="112"/>
        <v>3010106</v>
      </c>
      <c r="D356" t="str">
        <f t="shared" si="113"/>
        <v>03</v>
      </c>
      <c r="E356" t="str">
        <f t="shared" si="116"/>
        <v>661605</v>
      </c>
      <c r="F356" t="str">
        <f>"12/31/15"</f>
        <v>12/31/15</v>
      </c>
      <c r="G356" t="str">
        <f>"076782"</f>
        <v>076782</v>
      </c>
      <c r="H356" s="4">
        <v>865</v>
      </c>
      <c r="I356" s="3"/>
      <c r="J356" t="str">
        <f t="shared" si="114"/>
        <v>ECONOTEL BUSINESS SYSTEMS</v>
      </c>
      <c r="K356" t="str">
        <f t="shared" si="117"/>
        <v>3395173</v>
      </c>
      <c r="L356" s="2" t="str">
        <f t="shared" si="118"/>
        <v>APA-14488-10/1/14 -10/31/17 - DESIGN AND IMPLEMENT NEW VoIP SYSTEM FOR THE DEPARTMENT OF ATTORNEY GENERAL</v>
      </c>
      <c r="M356" t="str">
        <f t="shared" si="115"/>
        <v>SVALLANT</v>
      </c>
    </row>
    <row r="357" spans="1:13" ht="30" x14ac:dyDescent="0.25">
      <c r="A357" t="str">
        <f t="shared" si="110"/>
        <v>10</v>
      </c>
      <c r="B357" t="str">
        <f t="shared" si="111"/>
        <v>066</v>
      </c>
      <c r="C357" t="str">
        <f t="shared" si="112"/>
        <v>3010106</v>
      </c>
      <c r="D357" t="str">
        <f t="shared" si="113"/>
        <v>03</v>
      </c>
      <c r="E357" t="str">
        <f t="shared" si="116"/>
        <v>661605</v>
      </c>
      <c r="F357" t="str">
        <f>"12/31/15"</f>
        <v>12/31/15</v>
      </c>
      <c r="G357" t="str">
        <f>"076886"</f>
        <v>076886</v>
      </c>
      <c r="H357" s="3">
        <v>4682.3</v>
      </c>
      <c r="I357" s="3"/>
      <c r="J357" t="str">
        <f t="shared" si="114"/>
        <v>ECONOTEL BUSINESS SYSTEMS</v>
      </c>
      <c r="K357" t="str">
        <f t="shared" si="117"/>
        <v>3395173</v>
      </c>
      <c r="L357" s="2" t="str">
        <f t="shared" si="118"/>
        <v>APA-14488-10/1/14 -10/31/17 - DESIGN AND IMPLEMENT NEW VoIP SYSTEM FOR THE DEPARTMENT OF ATTORNEY GENERAL</v>
      </c>
      <c r="M357" t="str">
        <f t="shared" si="115"/>
        <v>SVALLANT</v>
      </c>
    </row>
    <row r="358" spans="1:13" x14ac:dyDescent="0.25">
      <c r="H358" s="6">
        <f>SUM(H333:H357)</f>
        <v>242816.45</v>
      </c>
      <c r="I358" s="9">
        <f>SUM(H333:H357)</f>
        <v>242816.45</v>
      </c>
      <c r="L358" s="2"/>
      <c r="M358" t="str">
        <f t="shared" si="115"/>
        <v>SVALLANT</v>
      </c>
    </row>
    <row r="359" spans="1:13" x14ac:dyDescent="0.25">
      <c r="H359" s="3"/>
      <c r="I359" s="3"/>
      <c r="L359" s="2"/>
    </row>
    <row r="360" spans="1:13" x14ac:dyDescent="0.25">
      <c r="A360" t="str">
        <f t="shared" ref="A360:A377" si="119">"10"</f>
        <v>10</v>
      </c>
      <c r="B360" t="str">
        <f t="shared" ref="B360:B377" si="120">"066"</f>
        <v>066</v>
      </c>
      <c r="C360" t="str">
        <f t="shared" ref="C360:C377" si="121">"3010106"</f>
        <v>3010106</v>
      </c>
      <c r="D360" t="str">
        <f t="shared" ref="D360:D377" si="122">"03"</f>
        <v>03</v>
      </c>
      <c r="E360" t="str">
        <f t="shared" ref="E360:E377" si="123">"632150"</f>
        <v>632150</v>
      </c>
      <c r="F360" t="str">
        <f>"01/31/17"</f>
        <v>01/31/17</v>
      </c>
      <c r="G360" t="str">
        <f>"11140227"</f>
        <v>11140227</v>
      </c>
      <c r="H360" s="3">
        <v>20160</v>
      </c>
      <c r="I360" s="3"/>
      <c r="J360" t="str">
        <f t="shared" ref="J360:J377" si="124">"EDWARD N CABRAL"</f>
        <v>EDWARD N CABRAL</v>
      </c>
      <c r="K360" t="str">
        <f t="shared" ref="K360:K377" si="125">"3451455"</f>
        <v>3451455</v>
      </c>
      <c r="L360" s="2" t="str">
        <f t="shared" ref="L360:L377" si="126">"APA-15950  FY16-FY19  IT PROJECT MANAGER"</f>
        <v>APA-15950  FY16-FY19  IT PROJECT MANAGER</v>
      </c>
    </row>
    <row r="361" spans="1:13" x14ac:dyDescent="0.25">
      <c r="A361" t="str">
        <f t="shared" si="119"/>
        <v>10</v>
      </c>
      <c r="B361" t="str">
        <f t="shared" si="120"/>
        <v>066</v>
      </c>
      <c r="C361" t="str">
        <f t="shared" si="121"/>
        <v>3010106</v>
      </c>
      <c r="D361" t="str">
        <f t="shared" si="122"/>
        <v>03</v>
      </c>
      <c r="E361" t="str">
        <f t="shared" si="123"/>
        <v>632150</v>
      </c>
      <c r="F361" t="str">
        <f>"02/28/17"</f>
        <v>02/28/17</v>
      </c>
      <c r="G361" t="str">
        <f>"11140228"</f>
        <v>11140228</v>
      </c>
      <c r="H361" s="3">
        <v>26180</v>
      </c>
      <c r="I361" s="3"/>
      <c r="J361" t="str">
        <f t="shared" si="124"/>
        <v>EDWARD N CABRAL</v>
      </c>
      <c r="K361" t="str">
        <f t="shared" si="125"/>
        <v>3451455</v>
      </c>
      <c r="L361" s="2" t="str">
        <f t="shared" si="126"/>
        <v>APA-15950  FY16-FY19  IT PROJECT MANAGER</v>
      </c>
      <c r="M361" t="str">
        <f t="shared" ref="M361:M378" si="127">"SVALLANT"</f>
        <v>SVALLANT</v>
      </c>
    </row>
    <row r="362" spans="1:13" x14ac:dyDescent="0.25">
      <c r="A362" t="str">
        <f t="shared" si="119"/>
        <v>10</v>
      </c>
      <c r="B362" t="str">
        <f t="shared" si="120"/>
        <v>066</v>
      </c>
      <c r="C362" t="str">
        <f t="shared" si="121"/>
        <v>3010106</v>
      </c>
      <c r="D362" t="str">
        <f t="shared" si="122"/>
        <v>03</v>
      </c>
      <c r="E362" t="str">
        <f t="shared" si="123"/>
        <v>632150</v>
      </c>
      <c r="F362" t="str">
        <f>"02/29/16"</f>
        <v>02/29/16</v>
      </c>
      <c r="G362" t="str">
        <f>"11140216"</f>
        <v>11140216</v>
      </c>
      <c r="H362" s="3">
        <v>12040</v>
      </c>
      <c r="I362" s="3"/>
      <c r="J362" t="str">
        <f t="shared" si="124"/>
        <v>EDWARD N CABRAL</v>
      </c>
      <c r="K362" t="str">
        <f t="shared" si="125"/>
        <v>3451455</v>
      </c>
      <c r="L362" s="2" t="str">
        <f t="shared" si="126"/>
        <v>APA-15950  FY16-FY19  IT PROJECT MANAGER</v>
      </c>
      <c r="M362" t="str">
        <f t="shared" si="127"/>
        <v>SVALLANT</v>
      </c>
    </row>
    <row r="363" spans="1:13" x14ac:dyDescent="0.25">
      <c r="A363" t="str">
        <f t="shared" si="119"/>
        <v>10</v>
      </c>
      <c r="B363" t="str">
        <f t="shared" si="120"/>
        <v>066</v>
      </c>
      <c r="C363" t="str">
        <f t="shared" si="121"/>
        <v>3010106</v>
      </c>
      <c r="D363" t="str">
        <f t="shared" si="122"/>
        <v>03</v>
      </c>
      <c r="E363" t="str">
        <f t="shared" si="123"/>
        <v>632150</v>
      </c>
      <c r="F363" t="str">
        <f>"03/31/16"</f>
        <v>03/31/16</v>
      </c>
      <c r="G363" t="str">
        <f>"11140217"</f>
        <v>11140217</v>
      </c>
      <c r="H363" s="3">
        <v>14140</v>
      </c>
      <c r="I363" s="3"/>
      <c r="J363" t="str">
        <f t="shared" si="124"/>
        <v>EDWARD N CABRAL</v>
      </c>
      <c r="K363" t="str">
        <f t="shared" si="125"/>
        <v>3451455</v>
      </c>
      <c r="L363" s="2" t="str">
        <f t="shared" si="126"/>
        <v>APA-15950  FY16-FY19  IT PROJECT MANAGER</v>
      </c>
      <c r="M363" t="str">
        <f t="shared" si="127"/>
        <v>SVALLANT</v>
      </c>
    </row>
    <row r="364" spans="1:13" x14ac:dyDescent="0.25">
      <c r="A364" t="str">
        <f t="shared" si="119"/>
        <v>10</v>
      </c>
      <c r="B364" t="str">
        <f t="shared" si="120"/>
        <v>066</v>
      </c>
      <c r="C364" t="str">
        <f t="shared" si="121"/>
        <v>3010106</v>
      </c>
      <c r="D364" t="str">
        <f t="shared" si="122"/>
        <v>03</v>
      </c>
      <c r="E364" t="str">
        <f t="shared" si="123"/>
        <v>632150</v>
      </c>
      <c r="F364" t="str">
        <f>"03/31/17"</f>
        <v>03/31/17</v>
      </c>
      <c r="G364" t="str">
        <f>"11140229"</f>
        <v>11140229</v>
      </c>
      <c r="H364" s="4">
        <v>14280</v>
      </c>
      <c r="I364" s="3"/>
      <c r="J364" t="str">
        <f t="shared" si="124"/>
        <v>EDWARD N CABRAL</v>
      </c>
      <c r="K364" t="str">
        <f t="shared" si="125"/>
        <v>3451455</v>
      </c>
      <c r="L364" s="2" t="str">
        <f t="shared" si="126"/>
        <v>APA-15950  FY16-FY19  IT PROJECT MANAGER</v>
      </c>
      <c r="M364" t="str">
        <f t="shared" si="127"/>
        <v>SVALLANT</v>
      </c>
    </row>
    <row r="365" spans="1:13" x14ac:dyDescent="0.25">
      <c r="A365" t="str">
        <f t="shared" si="119"/>
        <v>10</v>
      </c>
      <c r="B365" t="str">
        <f t="shared" si="120"/>
        <v>066</v>
      </c>
      <c r="C365" t="str">
        <f t="shared" si="121"/>
        <v>3010106</v>
      </c>
      <c r="D365" t="str">
        <f t="shared" si="122"/>
        <v>03</v>
      </c>
      <c r="E365" t="str">
        <f t="shared" si="123"/>
        <v>632150</v>
      </c>
      <c r="F365" t="str">
        <f>"04/30/16"</f>
        <v>04/30/16</v>
      </c>
      <c r="G365" t="str">
        <f>"11140218"</f>
        <v>11140218</v>
      </c>
      <c r="H365" s="4">
        <v>15120</v>
      </c>
      <c r="I365" s="3"/>
      <c r="J365" t="str">
        <f t="shared" si="124"/>
        <v>EDWARD N CABRAL</v>
      </c>
      <c r="K365" t="str">
        <f t="shared" si="125"/>
        <v>3451455</v>
      </c>
      <c r="L365" s="2" t="str">
        <f t="shared" si="126"/>
        <v>APA-15950  FY16-FY19  IT PROJECT MANAGER</v>
      </c>
      <c r="M365" t="str">
        <f t="shared" si="127"/>
        <v>SVALLANT</v>
      </c>
    </row>
    <row r="366" spans="1:13" x14ac:dyDescent="0.25">
      <c r="A366" t="str">
        <f t="shared" si="119"/>
        <v>10</v>
      </c>
      <c r="B366" t="str">
        <f t="shared" si="120"/>
        <v>066</v>
      </c>
      <c r="C366" t="str">
        <f t="shared" si="121"/>
        <v>3010106</v>
      </c>
      <c r="D366" t="str">
        <f t="shared" si="122"/>
        <v>03</v>
      </c>
      <c r="E366" t="str">
        <f t="shared" si="123"/>
        <v>632150</v>
      </c>
      <c r="F366" t="str">
        <f>"04/30/17"</f>
        <v>04/30/17</v>
      </c>
      <c r="G366" t="str">
        <f>"11140230"</f>
        <v>11140230</v>
      </c>
      <c r="H366" s="4">
        <v>10920</v>
      </c>
      <c r="I366" s="3"/>
      <c r="J366" t="str">
        <f t="shared" si="124"/>
        <v>EDWARD N CABRAL</v>
      </c>
      <c r="K366" t="str">
        <f t="shared" si="125"/>
        <v>3451455</v>
      </c>
      <c r="L366" s="2" t="str">
        <f t="shared" si="126"/>
        <v>APA-15950  FY16-FY19  IT PROJECT MANAGER</v>
      </c>
      <c r="M366" t="str">
        <f t="shared" si="127"/>
        <v>SVALLANT</v>
      </c>
    </row>
    <row r="367" spans="1:13" x14ac:dyDescent="0.25">
      <c r="A367" t="str">
        <f t="shared" si="119"/>
        <v>10</v>
      </c>
      <c r="B367" t="str">
        <f t="shared" si="120"/>
        <v>066</v>
      </c>
      <c r="C367" t="str">
        <f t="shared" si="121"/>
        <v>3010106</v>
      </c>
      <c r="D367" t="str">
        <f t="shared" si="122"/>
        <v>03</v>
      </c>
      <c r="E367" t="str">
        <f t="shared" si="123"/>
        <v>632150</v>
      </c>
      <c r="F367" t="str">
        <f>"05/31/16"</f>
        <v>05/31/16</v>
      </c>
      <c r="G367" t="str">
        <f>"11140219"</f>
        <v>11140219</v>
      </c>
      <c r="H367" s="4">
        <v>14840</v>
      </c>
      <c r="I367" s="3"/>
      <c r="J367" t="str">
        <f t="shared" si="124"/>
        <v>EDWARD N CABRAL</v>
      </c>
      <c r="K367" t="str">
        <f t="shared" si="125"/>
        <v>3451455</v>
      </c>
      <c r="L367" s="2" t="str">
        <f t="shared" si="126"/>
        <v>APA-15950  FY16-FY19  IT PROJECT MANAGER</v>
      </c>
      <c r="M367" t="str">
        <f t="shared" si="127"/>
        <v>SVALLANT</v>
      </c>
    </row>
    <row r="368" spans="1:13" x14ac:dyDescent="0.25">
      <c r="A368" t="str">
        <f t="shared" si="119"/>
        <v>10</v>
      </c>
      <c r="B368" t="str">
        <f t="shared" si="120"/>
        <v>066</v>
      </c>
      <c r="C368" t="str">
        <f t="shared" si="121"/>
        <v>3010106</v>
      </c>
      <c r="D368" t="str">
        <f t="shared" si="122"/>
        <v>03</v>
      </c>
      <c r="E368" t="str">
        <f t="shared" si="123"/>
        <v>632150</v>
      </c>
      <c r="F368" t="str">
        <f>"06/30/16"</f>
        <v>06/30/16</v>
      </c>
      <c r="G368" t="str">
        <f>"11140220"</f>
        <v>11140220</v>
      </c>
      <c r="H368" s="4">
        <v>14980</v>
      </c>
      <c r="I368" s="3"/>
      <c r="J368" t="str">
        <f t="shared" si="124"/>
        <v>EDWARD N CABRAL</v>
      </c>
      <c r="K368" t="str">
        <f t="shared" si="125"/>
        <v>3451455</v>
      </c>
      <c r="L368" s="2" t="str">
        <f t="shared" si="126"/>
        <v>APA-15950  FY16-FY19  IT PROJECT MANAGER</v>
      </c>
      <c r="M368" t="str">
        <f t="shared" si="127"/>
        <v>SVALLANT</v>
      </c>
    </row>
    <row r="369" spans="1:13" x14ac:dyDescent="0.25">
      <c r="A369" t="str">
        <f t="shared" si="119"/>
        <v>10</v>
      </c>
      <c r="B369" t="str">
        <f t="shared" si="120"/>
        <v>066</v>
      </c>
      <c r="C369" t="str">
        <f t="shared" si="121"/>
        <v>3010106</v>
      </c>
      <c r="D369" t="str">
        <f t="shared" si="122"/>
        <v>03</v>
      </c>
      <c r="E369" t="str">
        <f t="shared" si="123"/>
        <v>632150</v>
      </c>
      <c r="F369" t="str">
        <f>"06/30/16"</f>
        <v>06/30/16</v>
      </c>
      <c r="G369" t="str">
        <f>"11140221"</f>
        <v>11140221</v>
      </c>
      <c r="H369" s="4">
        <v>15120</v>
      </c>
      <c r="I369" s="3"/>
      <c r="J369" t="str">
        <f t="shared" si="124"/>
        <v>EDWARD N CABRAL</v>
      </c>
      <c r="K369" t="str">
        <f t="shared" si="125"/>
        <v>3451455</v>
      </c>
      <c r="L369" s="2" t="str">
        <f t="shared" si="126"/>
        <v>APA-15950  FY16-FY19  IT PROJECT MANAGER</v>
      </c>
      <c r="M369" t="str">
        <f t="shared" si="127"/>
        <v>SVALLANT</v>
      </c>
    </row>
    <row r="370" spans="1:13" x14ac:dyDescent="0.25">
      <c r="A370" t="str">
        <f t="shared" si="119"/>
        <v>10</v>
      </c>
      <c r="B370" t="str">
        <f t="shared" si="120"/>
        <v>066</v>
      </c>
      <c r="C370" t="str">
        <f t="shared" si="121"/>
        <v>3010106</v>
      </c>
      <c r="D370" t="str">
        <f t="shared" si="122"/>
        <v>03</v>
      </c>
      <c r="E370" t="str">
        <f t="shared" si="123"/>
        <v>632150</v>
      </c>
      <c r="F370" t="str">
        <f>"06/30/17"</f>
        <v>06/30/17</v>
      </c>
      <c r="G370" t="str">
        <f>"11140231"</f>
        <v>11140231</v>
      </c>
      <c r="H370" s="4">
        <v>10780</v>
      </c>
      <c r="I370" s="3"/>
      <c r="J370" t="str">
        <f t="shared" si="124"/>
        <v>EDWARD N CABRAL</v>
      </c>
      <c r="K370" t="str">
        <f t="shared" si="125"/>
        <v>3451455</v>
      </c>
      <c r="L370" s="2" t="str">
        <f t="shared" si="126"/>
        <v>APA-15950  FY16-FY19  IT PROJECT MANAGER</v>
      </c>
      <c r="M370" t="str">
        <f t="shared" si="127"/>
        <v>SVALLANT</v>
      </c>
    </row>
    <row r="371" spans="1:13" x14ac:dyDescent="0.25">
      <c r="A371" t="str">
        <f t="shared" si="119"/>
        <v>10</v>
      </c>
      <c r="B371" t="str">
        <f t="shared" si="120"/>
        <v>066</v>
      </c>
      <c r="C371" t="str">
        <f t="shared" si="121"/>
        <v>3010106</v>
      </c>
      <c r="D371" t="str">
        <f t="shared" si="122"/>
        <v>03</v>
      </c>
      <c r="E371" t="str">
        <f t="shared" si="123"/>
        <v>632150</v>
      </c>
      <c r="F371" t="str">
        <f>"06/30/17"</f>
        <v>06/30/17</v>
      </c>
      <c r="G371" t="str">
        <f>"11140232"</f>
        <v>11140232</v>
      </c>
      <c r="H371" s="4">
        <v>15820</v>
      </c>
      <c r="I371" s="3"/>
      <c r="J371" t="str">
        <f t="shared" si="124"/>
        <v>EDWARD N CABRAL</v>
      </c>
      <c r="K371" t="str">
        <f t="shared" si="125"/>
        <v>3451455</v>
      </c>
      <c r="L371" s="2" t="str">
        <f t="shared" si="126"/>
        <v>APA-15950  FY16-FY19  IT PROJECT MANAGER</v>
      </c>
      <c r="M371" t="str">
        <f t="shared" si="127"/>
        <v>SVALLANT</v>
      </c>
    </row>
    <row r="372" spans="1:13" x14ac:dyDescent="0.25">
      <c r="A372" t="str">
        <f t="shared" si="119"/>
        <v>10</v>
      </c>
      <c r="B372" t="str">
        <f t="shared" si="120"/>
        <v>066</v>
      </c>
      <c r="C372" t="str">
        <f t="shared" si="121"/>
        <v>3010106</v>
      </c>
      <c r="D372" t="str">
        <f t="shared" si="122"/>
        <v>03</v>
      </c>
      <c r="E372" t="str">
        <f t="shared" si="123"/>
        <v>632150</v>
      </c>
      <c r="F372" t="str">
        <f>"06/30/17"</f>
        <v>06/30/17</v>
      </c>
      <c r="G372" t="str">
        <f>"11140233"</f>
        <v>11140233</v>
      </c>
      <c r="H372" s="4">
        <v>10920</v>
      </c>
      <c r="I372" s="3"/>
      <c r="J372" t="str">
        <f t="shared" si="124"/>
        <v>EDWARD N CABRAL</v>
      </c>
      <c r="K372" t="str">
        <f t="shared" si="125"/>
        <v>3451455</v>
      </c>
      <c r="L372" s="2" t="str">
        <f t="shared" si="126"/>
        <v>APA-15950  FY16-FY19  IT PROJECT MANAGER</v>
      </c>
      <c r="M372" t="str">
        <f t="shared" si="127"/>
        <v>SVALLANT</v>
      </c>
    </row>
    <row r="373" spans="1:13" x14ac:dyDescent="0.25">
      <c r="A373" t="str">
        <f t="shared" si="119"/>
        <v>10</v>
      </c>
      <c r="B373" t="str">
        <f t="shared" si="120"/>
        <v>066</v>
      </c>
      <c r="C373" t="str">
        <f t="shared" si="121"/>
        <v>3010106</v>
      </c>
      <c r="D373" t="str">
        <f t="shared" si="122"/>
        <v>03</v>
      </c>
      <c r="E373" t="str">
        <f t="shared" si="123"/>
        <v>632150</v>
      </c>
      <c r="F373" t="str">
        <f>"08/31/16"</f>
        <v>08/31/16</v>
      </c>
      <c r="G373" t="str">
        <f>"11140222"</f>
        <v>11140222</v>
      </c>
      <c r="H373" s="4">
        <v>15120</v>
      </c>
      <c r="I373" s="3"/>
      <c r="J373" t="str">
        <f t="shared" si="124"/>
        <v>EDWARD N CABRAL</v>
      </c>
      <c r="K373" t="str">
        <f t="shared" si="125"/>
        <v>3451455</v>
      </c>
      <c r="L373" s="2" t="str">
        <f t="shared" si="126"/>
        <v>APA-15950  FY16-FY19  IT PROJECT MANAGER</v>
      </c>
      <c r="M373" t="str">
        <f t="shared" si="127"/>
        <v>SVALLANT</v>
      </c>
    </row>
    <row r="374" spans="1:13" x14ac:dyDescent="0.25">
      <c r="A374" t="str">
        <f t="shared" si="119"/>
        <v>10</v>
      </c>
      <c r="B374" t="str">
        <f t="shared" si="120"/>
        <v>066</v>
      </c>
      <c r="C374" t="str">
        <f t="shared" si="121"/>
        <v>3010106</v>
      </c>
      <c r="D374" t="str">
        <f t="shared" si="122"/>
        <v>03</v>
      </c>
      <c r="E374" t="str">
        <f t="shared" si="123"/>
        <v>632150</v>
      </c>
      <c r="F374" t="str">
        <f>"09/30/16"</f>
        <v>09/30/16</v>
      </c>
      <c r="G374" t="str">
        <f>"11140223"</f>
        <v>11140223</v>
      </c>
      <c r="H374" s="4">
        <v>19880</v>
      </c>
      <c r="I374" s="3"/>
      <c r="J374" t="str">
        <f t="shared" si="124"/>
        <v>EDWARD N CABRAL</v>
      </c>
      <c r="K374" t="str">
        <f t="shared" si="125"/>
        <v>3451455</v>
      </c>
      <c r="L374" s="2" t="str">
        <f t="shared" si="126"/>
        <v>APA-15950  FY16-FY19  IT PROJECT MANAGER</v>
      </c>
      <c r="M374" t="str">
        <f t="shared" si="127"/>
        <v>SVALLANT</v>
      </c>
    </row>
    <row r="375" spans="1:13" x14ac:dyDescent="0.25">
      <c r="A375" t="str">
        <f t="shared" si="119"/>
        <v>10</v>
      </c>
      <c r="B375" t="str">
        <f t="shared" si="120"/>
        <v>066</v>
      </c>
      <c r="C375" t="str">
        <f t="shared" si="121"/>
        <v>3010106</v>
      </c>
      <c r="D375" t="str">
        <f t="shared" si="122"/>
        <v>03</v>
      </c>
      <c r="E375" t="str">
        <f t="shared" si="123"/>
        <v>632150</v>
      </c>
      <c r="F375" t="str">
        <f>"10/31/16"</f>
        <v>10/31/16</v>
      </c>
      <c r="G375" t="str">
        <f>"11140224"</f>
        <v>11140224</v>
      </c>
      <c r="H375" s="4">
        <v>15540</v>
      </c>
      <c r="I375" s="3"/>
      <c r="J375" t="str">
        <f t="shared" si="124"/>
        <v>EDWARD N CABRAL</v>
      </c>
      <c r="K375" t="str">
        <f t="shared" si="125"/>
        <v>3451455</v>
      </c>
      <c r="L375" s="2" t="str">
        <f t="shared" si="126"/>
        <v>APA-15950  FY16-FY19  IT PROJECT MANAGER</v>
      </c>
      <c r="M375" t="str">
        <f t="shared" si="127"/>
        <v>SVALLANT</v>
      </c>
    </row>
    <row r="376" spans="1:13" x14ac:dyDescent="0.25">
      <c r="A376" t="str">
        <f t="shared" si="119"/>
        <v>10</v>
      </c>
      <c r="B376" t="str">
        <f t="shared" si="120"/>
        <v>066</v>
      </c>
      <c r="C376" t="str">
        <f t="shared" si="121"/>
        <v>3010106</v>
      </c>
      <c r="D376" t="str">
        <f t="shared" si="122"/>
        <v>03</v>
      </c>
      <c r="E376" t="str">
        <f t="shared" si="123"/>
        <v>632150</v>
      </c>
      <c r="F376" t="str">
        <f>"11/30/16"</f>
        <v>11/30/16</v>
      </c>
      <c r="G376" t="str">
        <f>"11140225"</f>
        <v>11140225</v>
      </c>
      <c r="H376" s="4">
        <v>19180</v>
      </c>
      <c r="I376" s="3"/>
      <c r="J376" t="str">
        <f t="shared" si="124"/>
        <v>EDWARD N CABRAL</v>
      </c>
      <c r="K376" t="str">
        <f t="shared" si="125"/>
        <v>3451455</v>
      </c>
      <c r="L376" s="2" t="str">
        <f t="shared" si="126"/>
        <v>APA-15950  FY16-FY19  IT PROJECT MANAGER</v>
      </c>
      <c r="M376" t="str">
        <f t="shared" si="127"/>
        <v>SVALLANT</v>
      </c>
    </row>
    <row r="377" spans="1:13" x14ac:dyDescent="0.25">
      <c r="A377" t="str">
        <f t="shared" si="119"/>
        <v>10</v>
      </c>
      <c r="B377" t="str">
        <f t="shared" si="120"/>
        <v>066</v>
      </c>
      <c r="C377" t="str">
        <f t="shared" si="121"/>
        <v>3010106</v>
      </c>
      <c r="D377" t="str">
        <f t="shared" si="122"/>
        <v>03</v>
      </c>
      <c r="E377" t="str">
        <f t="shared" si="123"/>
        <v>632150</v>
      </c>
      <c r="F377" t="str">
        <f>"12/31/16"</f>
        <v>12/31/16</v>
      </c>
      <c r="G377" t="str">
        <f>"11140226"</f>
        <v>11140226</v>
      </c>
      <c r="H377" s="4">
        <v>20300</v>
      </c>
      <c r="I377" s="3"/>
      <c r="J377" t="str">
        <f t="shared" si="124"/>
        <v>EDWARD N CABRAL</v>
      </c>
      <c r="K377" t="str">
        <f t="shared" si="125"/>
        <v>3451455</v>
      </c>
      <c r="L377" s="2" t="str">
        <f t="shared" si="126"/>
        <v>APA-15950  FY16-FY19  IT PROJECT MANAGER</v>
      </c>
      <c r="M377" t="str">
        <f t="shared" si="127"/>
        <v>SVALLANT</v>
      </c>
    </row>
    <row r="378" spans="1:13" x14ac:dyDescent="0.25">
      <c r="H378" s="6">
        <f>SUM(H360:H377)</f>
        <v>285320</v>
      </c>
      <c r="I378" s="6">
        <f>SUM(H360:H377)</f>
        <v>285320</v>
      </c>
      <c r="L378" s="2"/>
      <c r="M378" t="str">
        <f t="shared" si="127"/>
        <v>SVALLANT</v>
      </c>
    </row>
    <row r="379" spans="1:13" x14ac:dyDescent="0.25">
      <c r="H379" s="3"/>
      <c r="I379" s="3"/>
      <c r="L379" s="2"/>
    </row>
    <row r="380" spans="1:13" x14ac:dyDescent="0.25">
      <c r="A380" t="str">
        <f>"10"</f>
        <v>10</v>
      </c>
      <c r="B380" t="str">
        <f>"066"</f>
        <v>066</v>
      </c>
      <c r="C380" t="str">
        <f>"3010106"</f>
        <v>3010106</v>
      </c>
      <c r="D380" t="str">
        <f>"03"</f>
        <v>03</v>
      </c>
      <c r="E380" t="str">
        <f>"634200"</f>
        <v>634200</v>
      </c>
      <c r="F380" t="str">
        <f>"02/28/15"</f>
        <v>02/28/15</v>
      </c>
      <c r="G380" t="str">
        <f>"INVOICE NO. 2 - 180 SO"</f>
        <v>INVOICE NO. 2 - 180 SO</v>
      </c>
      <c r="H380" s="3">
        <v>268.18</v>
      </c>
      <c r="I380" s="3"/>
      <c r="J380" t="str">
        <f>"EDWARD ROWSE ARCHITECTS INC"</f>
        <v>EDWARD ROWSE ARCHITECTS INC</v>
      </c>
      <c r="K380" t="str">
        <f>"3385262"</f>
        <v>3385262</v>
      </c>
      <c r="L380" s="2" t="str">
        <f>"ARCHITECTUAL SERVICES - 180 SOUTH MAIN STREET - ELEVATOR MODERNIZATION"</f>
        <v>ARCHITECTUAL SERVICES - 180 SOUTH MAIN STREET - ELEVATOR MODERNIZATION</v>
      </c>
    </row>
    <row r="381" spans="1:13" x14ac:dyDescent="0.25">
      <c r="A381" t="str">
        <f>"10"</f>
        <v>10</v>
      </c>
      <c r="B381" t="str">
        <f>"066"</f>
        <v>066</v>
      </c>
      <c r="C381" t="str">
        <f>"3010106"</f>
        <v>3010106</v>
      </c>
      <c r="D381" t="str">
        <f>"03"</f>
        <v>03</v>
      </c>
      <c r="E381" t="str">
        <f>"634200"</f>
        <v>634200</v>
      </c>
      <c r="F381" t="str">
        <f>"06/30/16"</f>
        <v>06/30/16</v>
      </c>
      <c r="G381" t="str">
        <f>"INVOICE NO. 3 - 180 SO"</f>
        <v>INVOICE NO. 3 - 180 SO</v>
      </c>
      <c r="H381" s="3">
        <v>5147.6000000000004</v>
      </c>
      <c r="I381" s="3"/>
      <c r="J381" t="str">
        <f>"EDWARD ROWSE ARCHITECTS INC"</f>
        <v>EDWARD ROWSE ARCHITECTS INC</v>
      </c>
      <c r="K381" t="str">
        <f>"3471000"</f>
        <v>3471000</v>
      </c>
      <c r="L381" s="2" t="str">
        <f>"ARCHITECTUAL SERVICES - 180 SOUTH MAIN STREET - ROOF REPLACEMENT"</f>
        <v>ARCHITECTUAL SERVICES - 180 SOUTH MAIN STREET - ROOF REPLACEMENT</v>
      </c>
      <c r="M381" t="str">
        <f>"SVALLANT"</f>
        <v>SVALLANT</v>
      </c>
    </row>
    <row r="382" spans="1:13" x14ac:dyDescent="0.25">
      <c r="A382" t="str">
        <f>"10"</f>
        <v>10</v>
      </c>
      <c r="B382" t="str">
        <f>"066"</f>
        <v>066</v>
      </c>
      <c r="C382" t="str">
        <f>"3010106"</f>
        <v>3010106</v>
      </c>
      <c r="D382" t="str">
        <f>"03"</f>
        <v>03</v>
      </c>
      <c r="E382" t="str">
        <f>"634200"</f>
        <v>634200</v>
      </c>
      <c r="F382" t="str">
        <f>"09/30/16"</f>
        <v>09/30/16</v>
      </c>
      <c r="G382" t="str">
        <f>"INVOICE NO. 4 - 180 SO"</f>
        <v>INVOICE NO. 4 - 180 SO</v>
      </c>
      <c r="H382" s="3">
        <v>750</v>
      </c>
      <c r="I382" s="3"/>
      <c r="J382" t="str">
        <f>"EDWARD ROWSE ARCHITECTS INC"</f>
        <v>EDWARD ROWSE ARCHITECTS INC</v>
      </c>
      <c r="K382" t="str">
        <f>"3484812"</f>
        <v>3484812</v>
      </c>
      <c r="L382" s="2" t="str">
        <f>"ARCHITECTUAL SERVICES - 180 SOUTH MAIN STREET - ELEVATOR MODERNIZATION"</f>
        <v>ARCHITECTUAL SERVICES - 180 SOUTH MAIN STREET - ELEVATOR MODERNIZATION</v>
      </c>
      <c r="M382" t="str">
        <f>"SVALLANT"</f>
        <v>SVALLANT</v>
      </c>
    </row>
    <row r="383" spans="1:13" x14ac:dyDescent="0.25">
      <c r="A383" t="str">
        <f>"10"</f>
        <v>10</v>
      </c>
      <c r="B383" t="str">
        <f>"066"</f>
        <v>066</v>
      </c>
      <c r="C383" t="str">
        <f>"3010106"</f>
        <v>3010106</v>
      </c>
      <c r="D383" t="str">
        <f>"03"</f>
        <v>03</v>
      </c>
      <c r="E383" t="str">
        <f>"634200"</f>
        <v>634200</v>
      </c>
      <c r="F383" t="str">
        <f>"11/30/14"</f>
        <v>11/30/14</v>
      </c>
      <c r="G383" t="str">
        <f>"INVOICE NO. 1 - 180 SO"</f>
        <v>INVOICE NO. 1 - 180 SO</v>
      </c>
      <c r="H383" s="3">
        <v>3000</v>
      </c>
      <c r="I383" s="3"/>
      <c r="J383" t="str">
        <f>"EDWARD ROWSE ARCHITECTS INC"</f>
        <v>EDWARD ROWSE ARCHITECTS INC</v>
      </c>
      <c r="K383" t="str">
        <f>"3385262"</f>
        <v>3385262</v>
      </c>
      <c r="L383" s="2" t="str">
        <f>"ARCHITECTUAL SERVICES - 180 SOUTH MAIN STREET - ELEVATOR MODERNIZATION"</f>
        <v>ARCHITECTUAL SERVICES - 180 SOUTH MAIN STREET - ELEVATOR MODERNIZATION</v>
      </c>
      <c r="M383" t="str">
        <f>"SVALLANT"</f>
        <v>SVALLANT</v>
      </c>
    </row>
    <row r="384" spans="1:13" x14ac:dyDescent="0.25">
      <c r="H384" s="6">
        <f>SUM(H380:H383)</f>
        <v>9165.7800000000007</v>
      </c>
      <c r="I384" s="6">
        <f>SUM(H380:H383)</f>
        <v>9165.7800000000007</v>
      </c>
      <c r="L384" s="2"/>
      <c r="M384" t="str">
        <f>"SVALLANT"</f>
        <v>SVALLANT</v>
      </c>
    </row>
    <row r="385" spans="1:13" x14ac:dyDescent="0.25">
      <c r="H385" s="3"/>
      <c r="I385" s="3"/>
      <c r="L385" s="2"/>
    </row>
    <row r="386" spans="1:13" x14ac:dyDescent="0.25">
      <c r="A386" t="str">
        <f>"10"</f>
        <v>10</v>
      </c>
      <c r="B386" t="str">
        <f>"066"</f>
        <v>066</v>
      </c>
      <c r="C386" t="str">
        <f>"3010106"</f>
        <v>3010106</v>
      </c>
      <c r="D386" t="str">
        <f>"03"</f>
        <v>03</v>
      </c>
      <c r="E386" t="str">
        <f>"643110"</f>
        <v>643110</v>
      </c>
      <c r="F386" t="str">
        <f>"09/30/13"</f>
        <v>09/30/13</v>
      </c>
      <c r="G386" t="str">
        <f>"55779"</f>
        <v>55779</v>
      </c>
      <c r="H386" s="6">
        <v>690</v>
      </c>
      <c r="I386" s="6">
        <f>SUM(H386)</f>
        <v>690</v>
      </c>
      <c r="J386" t="str">
        <f>"ENTERPRISE PRINTING &amp; PRODUCTS CORP"</f>
        <v>ENTERPRISE PRINTING &amp; PRODUCTS CORP</v>
      </c>
      <c r="K386" t="str">
        <f>"3343282"</f>
        <v>3343282</v>
      </c>
      <c r="L386" s="2" t="str">
        <f>"consumer booklet and new book layout"</f>
        <v>consumer booklet and new book layout</v>
      </c>
    </row>
    <row r="387" spans="1:13" x14ac:dyDescent="0.25">
      <c r="H387" s="3"/>
      <c r="I387" s="3"/>
      <c r="L387" s="2"/>
      <c r="M387" t="str">
        <f>"SVALLANT"</f>
        <v>SVALLANT</v>
      </c>
    </row>
    <row r="388" spans="1:13" ht="30" x14ac:dyDescent="0.25">
      <c r="A388" t="str">
        <f t="shared" ref="A388:A400" si="128">"10"</f>
        <v>10</v>
      </c>
      <c r="B388" t="str">
        <f t="shared" ref="B388:B400" si="129">"066"</f>
        <v>066</v>
      </c>
      <c r="C388" t="str">
        <f t="shared" ref="C388:C400" si="130">"3010106"</f>
        <v>3010106</v>
      </c>
      <c r="D388" t="str">
        <f t="shared" ref="D388:D400" si="131">"03"</f>
        <v>03</v>
      </c>
      <c r="E388" t="str">
        <f t="shared" ref="E388:E393" si="132">"632150"</f>
        <v>632150</v>
      </c>
      <c r="F388" t="str">
        <f>"02/28/14"</f>
        <v>02/28/14</v>
      </c>
      <c r="G388" t="str">
        <f>"US0130949137"</f>
        <v>US0130949137</v>
      </c>
      <c r="H388" s="3">
        <v>82530</v>
      </c>
      <c r="I388" s="3"/>
      <c r="J388" t="str">
        <f t="shared" ref="J388:J400" si="133">"ERNST &amp; YOUNG LLP"</f>
        <v>ERNST &amp; YOUNG LLP</v>
      </c>
      <c r="K388" t="str">
        <f t="shared" ref="K388:K400" si="134">"3340609"</f>
        <v>3340609</v>
      </c>
      <c r="L388" s="2" t="str">
        <f>"APA-12796 - 8/19/13-8/18/14 - TASK 1 - INFRASTRUCTURE STRATEGY AND SOURCING STRATEGY (INCLUDES PHASE 3 WORK) - BLENDED HOURLY RATE"</f>
        <v>APA-12796 - 8/19/13-8/18/14 - TASK 1 - INFRASTRUCTURE STRATEGY AND SOURCING STRATEGY (INCLUDES PHASE 3 WORK) - BLENDED HOURLY RATE</v>
      </c>
    </row>
    <row r="389" spans="1:13" ht="30" x14ac:dyDescent="0.25">
      <c r="A389" t="str">
        <f t="shared" si="128"/>
        <v>10</v>
      </c>
      <c r="B389" t="str">
        <f t="shared" si="129"/>
        <v>066</v>
      </c>
      <c r="C389" t="str">
        <f t="shared" si="130"/>
        <v>3010106</v>
      </c>
      <c r="D389" t="str">
        <f t="shared" si="131"/>
        <v>03</v>
      </c>
      <c r="E389" t="str">
        <f t="shared" si="132"/>
        <v>632150</v>
      </c>
      <c r="F389" t="str">
        <f>"02/28/14"</f>
        <v>02/28/14</v>
      </c>
      <c r="G389" t="str">
        <f>"US0130949137"</f>
        <v>US0130949137</v>
      </c>
      <c r="H389" s="3">
        <v>51090</v>
      </c>
      <c r="I389" s="3"/>
      <c r="J389" t="str">
        <f t="shared" si="133"/>
        <v>ERNST &amp; YOUNG LLP</v>
      </c>
      <c r="K389" t="str">
        <f t="shared" si="134"/>
        <v>3340609</v>
      </c>
      <c r="L389" s="2" t="str">
        <f>"APA-12796 - 8/19/13-8/18/14 - TASK 1 - TRANSITION AND EXECUTION ROADMAP (INCLUDES PHASE 4 WORK) - BLENDED HOURLY RATE"</f>
        <v>APA-12796 - 8/19/13-8/18/14 - TASK 1 - TRANSITION AND EXECUTION ROADMAP (INCLUDES PHASE 4 WORK) - BLENDED HOURLY RATE</v>
      </c>
      <c r="M389" t="str">
        <f t="shared" ref="M389:M400" si="135">"SVALLANT"</f>
        <v>SVALLANT</v>
      </c>
    </row>
    <row r="390" spans="1:13" ht="30" x14ac:dyDescent="0.25">
      <c r="A390" t="str">
        <f t="shared" si="128"/>
        <v>10</v>
      </c>
      <c r="B390" t="str">
        <f t="shared" si="129"/>
        <v>066</v>
      </c>
      <c r="C390" t="str">
        <f t="shared" si="130"/>
        <v>3010106</v>
      </c>
      <c r="D390" t="str">
        <f t="shared" si="131"/>
        <v>03</v>
      </c>
      <c r="E390" t="str">
        <f t="shared" si="132"/>
        <v>632150</v>
      </c>
      <c r="F390" t="str">
        <f>"02/28/14"</f>
        <v>02/28/14</v>
      </c>
      <c r="G390" t="str">
        <f>"US0130949137"</f>
        <v>US0130949137</v>
      </c>
      <c r="H390" s="3">
        <v>16506</v>
      </c>
      <c r="I390" s="3"/>
      <c r="J390" t="str">
        <f t="shared" si="133"/>
        <v>ERNST &amp; YOUNG LLP</v>
      </c>
      <c r="K390" t="str">
        <f t="shared" si="134"/>
        <v>3340609</v>
      </c>
      <c r="L390" s="2" t="str">
        <f>"APA-12796 - 8/19/13-8/18/14 - TASK 1 - SOLUTION ASSESSMENT REPORT (INCLUDES PHASE 1 AND PHASE 2 WORK) - BLENDED HOURLY RATE"</f>
        <v>APA-12796 - 8/19/13-8/18/14 - TASK 1 - SOLUTION ASSESSMENT REPORT (INCLUDES PHASE 1 AND PHASE 2 WORK) - BLENDED HOURLY RATE</v>
      </c>
      <c r="M390" t="str">
        <f t="shared" si="135"/>
        <v>SVALLANT</v>
      </c>
    </row>
    <row r="391" spans="1:13" ht="30" x14ac:dyDescent="0.25">
      <c r="A391" t="str">
        <f t="shared" si="128"/>
        <v>10</v>
      </c>
      <c r="B391" t="str">
        <f t="shared" si="129"/>
        <v>066</v>
      </c>
      <c r="C391" t="str">
        <f t="shared" si="130"/>
        <v>3010106</v>
      </c>
      <c r="D391" t="str">
        <f t="shared" si="131"/>
        <v>03</v>
      </c>
      <c r="E391" t="str">
        <f t="shared" si="132"/>
        <v>632150</v>
      </c>
      <c r="F391" t="str">
        <f>"02/28/14"</f>
        <v>02/28/14</v>
      </c>
      <c r="G391" t="str">
        <f>"US0130949137"</f>
        <v>US0130949137</v>
      </c>
      <c r="H391" s="3">
        <v>5843.75</v>
      </c>
      <c r="I391" s="3"/>
      <c r="J391" t="str">
        <f t="shared" si="133"/>
        <v>ERNST &amp; YOUNG LLP</v>
      </c>
      <c r="K391" t="str">
        <f t="shared" si="134"/>
        <v>3340609</v>
      </c>
      <c r="L391" s="2" t="str">
        <f>"APA-12796 - 8/19/13-8/18/14 - TASK 2 - PROGRAM MANAGEMENT INFRASTRUCTURE, ACTIVITIES, AND PROTOCOLS - BLENDED HOURLY RATE"</f>
        <v>APA-12796 - 8/19/13-8/18/14 - TASK 2 - PROGRAM MANAGEMENT INFRASTRUCTURE, ACTIVITIES, AND PROTOCOLS - BLENDED HOURLY RATE</v>
      </c>
      <c r="M391" t="str">
        <f t="shared" si="135"/>
        <v>SVALLANT</v>
      </c>
    </row>
    <row r="392" spans="1:13" ht="30" x14ac:dyDescent="0.25">
      <c r="A392" t="str">
        <f t="shared" si="128"/>
        <v>10</v>
      </c>
      <c r="B392" t="str">
        <f t="shared" si="129"/>
        <v>066</v>
      </c>
      <c r="C392" t="str">
        <f t="shared" si="130"/>
        <v>3010106</v>
      </c>
      <c r="D392" t="str">
        <f t="shared" si="131"/>
        <v>03</v>
      </c>
      <c r="E392" t="str">
        <f t="shared" si="132"/>
        <v>632150</v>
      </c>
      <c r="F392" t="str">
        <f>"11/30/13"</f>
        <v>11/30/13</v>
      </c>
      <c r="G392" t="str">
        <f>"US0130937522"</f>
        <v>US0130937522</v>
      </c>
      <c r="H392" s="3">
        <v>122354</v>
      </c>
      <c r="I392" s="3"/>
      <c r="J392" t="str">
        <f t="shared" si="133"/>
        <v>ERNST &amp; YOUNG LLP</v>
      </c>
      <c r="K392" t="str">
        <f t="shared" si="134"/>
        <v>3340609</v>
      </c>
      <c r="L392" s="2" t="str">
        <f>"APA-12796 - 8/19/13-8/18/14 - TASK 1 - SOLUTION ASSESSMENT REPORT (INCLUDES PHASE 1 AND PHASE 2 WORK) - BLENDED HOURLY RATE"</f>
        <v>APA-12796 - 8/19/13-8/18/14 - TASK 1 - SOLUTION ASSESSMENT REPORT (INCLUDES PHASE 1 AND PHASE 2 WORK) - BLENDED HOURLY RATE</v>
      </c>
      <c r="M392" t="str">
        <f t="shared" si="135"/>
        <v>SVALLANT</v>
      </c>
    </row>
    <row r="393" spans="1:13" ht="30" x14ac:dyDescent="0.25">
      <c r="A393" t="str">
        <f t="shared" si="128"/>
        <v>10</v>
      </c>
      <c r="B393" t="str">
        <f t="shared" si="129"/>
        <v>066</v>
      </c>
      <c r="C393" t="str">
        <f t="shared" si="130"/>
        <v>3010106</v>
      </c>
      <c r="D393" t="str">
        <f t="shared" si="131"/>
        <v>03</v>
      </c>
      <c r="E393" t="str">
        <f t="shared" si="132"/>
        <v>632150</v>
      </c>
      <c r="F393" t="str">
        <f>"11/30/13"</f>
        <v>11/30/13</v>
      </c>
      <c r="G393" t="str">
        <f>"US0130937522"</f>
        <v>US0130937522</v>
      </c>
      <c r="H393" s="3">
        <v>18906.25</v>
      </c>
      <c r="I393" s="3"/>
      <c r="J393" t="str">
        <f t="shared" si="133"/>
        <v>ERNST &amp; YOUNG LLP</v>
      </c>
      <c r="K393" t="str">
        <f t="shared" si="134"/>
        <v>3340609</v>
      </c>
      <c r="L393" s="2" t="str">
        <f>"APA-12796 - 8/19/13-8/18/14 - TASK 2 - PROGRAM MANAGEMENT INFRASTRUCTURE, ACTIVITIES, AND PROTOCOLS - BLENDED HOURLY RATE"</f>
        <v>APA-12796 - 8/19/13-8/18/14 - TASK 2 - PROGRAM MANAGEMENT INFRASTRUCTURE, ACTIVITIES, AND PROTOCOLS - BLENDED HOURLY RATE</v>
      </c>
      <c r="M393" t="str">
        <f t="shared" si="135"/>
        <v>SVALLANT</v>
      </c>
    </row>
    <row r="394" spans="1:13" ht="30" x14ac:dyDescent="0.25">
      <c r="A394" t="str">
        <f t="shared" si="128"/>
        <v>10</v>
      </c>
      <c r="B394" t="str">
        <f t="shared" si="129"/>
        <v>066</v>
      </c>
      <c r="C394" t="str">
        <f t="shared" si="130"/>
        <v>3010106</v>
      </c>
      <c r="D394" t="str">
        <f t="shared" si="131"/>
        <v>03</v>
      </c>
      <c r="E394" t="str">
        <f t="shared" ref="E394:E399" si="136">"639900"</f>
        <v>639900</v>
      </c>
      <c r="F394" t="str">
        <f>"02/28/14"</f>
        <v>02/28/14</v>
      </c>
      <c r="G394" t="str">
        <f>"US0130949137"</f>
        <v>US0130949137</v>
      </c>
      <c r="H394" s="3">
        <v>5843.75</v>
      </c>
      <c r="I394" s="3"/>
      <c r="J394" t="str">
        <f t="shared" si="133"/>
        <v>ERNST &amp; YOUNG LLP</v>
      </c>
      <c r="K394" t="str">
        <f t="shared" si="134"/>
        <v>3340609</v>
      </c>
      <c r="L394" s="2" t="str">
        <f>"APA-12796 - 8/19/13-8/18/14 - TASK 2 - PROGRAM MANAGEMENT INFRASTRUCTURE, ACTIVITIES, AND PROTOCOLS - BLENDED HOURLY RATE"</f>
        <v>APA-12796 - 8/19/13-8/18/14 - TASK 2 - PROGRAM MANAGEMENT INFRASTRUCTURE, ACTIVITIES, AND PROTOCOLS - BLENDED HOURLY RATE</v>
      </c>
      <c r="M394" t="str">
        <f t="shared" si="135"/>
        <v>SVALLANT</v>
      </c>
    </row>
    <row r="395" spans="1:13" ht="30" x14ac:dyDescent="0.25">
      <c r="A395" t="str">
        <f t="shared" si="128"/>
        <v>10</v>
      </c>
      <c r="B395" t="str">
        <f t="shared" si="129"/>
        <v>066</v>
      </c>
      <c r="C395" t="str">
        <f t="shared" si="130"/>
        <v>3010106</v>
      </c>
      <c r="D395" t="str">
        <f t="shared" si="131"/>
        <v>03</v>
      </c>
      <c r="E395" t="str">
        <f t="shared" si="136"/>
        <v>639900</v>
      </c>
      <c r="F395" t="str">
        <f>"02/28/14"</f>
        <v>02/28/14</v>
      </c>
      <c r="G395" t="str">
        <f>"US0130949137"</f>
        <v>US0130949137</v>
      </c>
      <c r="H395" s="3">
        <v>8370</v>
      </c>
      <c r="I395" s="3"/>
      <c r="J395" t="str">
        <f t="shared" si="133"/>
        <v>ERNST &amp; YOUNG LLP</v>
      </c>
      <c r="K395" t="str">
        <f t="shared" si="134"/>
        <v>3340609</v>
      </c>
      <c r="L395" s="2" t="str">
        <f>"APA-12796 - 8/19/13-8/18/14 - TASK 2 - FINDINGS AND RECOMMENDATIONS - BLENDED HOURLY RATE"</f>
        <v>APA-12796 - 8/19/13-8/18/14 - TASK 2 - FINDINGS AND RECOMMENDATIONS - BLENDED HOURLY RATE</v>
      </c>
      <c r="M395" t="str">
        <f t="shared" si="135"/>
        <v>SVALLANT</v>
      </c>
    </row>
    <row r="396" spans="1:13" ht="45" x14ac:dyDescent="0.25">
      <c r="A396" t="str">
        <f t="shared" si="128"/>
        <v>10</v>
      </c>
      <c r="B396" t="str">
        <f t="shared" si="129"/>
        <v>066</v>
      </c>
      <c r="C396" t="str">
        <f t="shared" si="130"/>
        <v>3010106</v>
      </c>
      <c r="D396" t="str">
        <f t="shared" si="131"/>
        <v>03</v>
      </c>
      <c r="E396" t="str">
        <f t="shared" si="136"/>
        <v>639900</v>
      </c>
      <c r="F396" t="str">
        <f>"02/28/14"</f>
        <v>02/28/14</v>
      </c>
      <c r="G396" t="str">
        <f>"US0130949137"</f>
        <v>US0130949137</v>
      </c>
      <c r="H396" s="3">
        <v>21330</v>
      </c>
      <c r="I396" s="3"/>
      <c r="J396" t="str">
        <f t="shared" si="133"/>
        <v>ERNST &amp; YOUNG LLP</v>
      </c>
      <c r="K396" t="str">
        <f t="shared" si="134"/>
        <v>3340609</v>
      </c>
      <c r="L396" s="2" t="str">
        <f>"APA-12796 - 8/19/13-8/18/14 - TASK 2 - OPPORTUNITY ASSESSMENT (INCLUDES OPERATIONAL REQUIREMENTS, AND IDENTIFIED PORTFOLIO / CONFIGURATION OPPORTUNITIES) - BLENDED HOURLY RATE"</f>
        <v>APA-12796 - 8/19/13-8/18/14 - TASK 2 - OPPORTUNITY ASSESSMENT (INCLUDES OPERATIONAL REQUIREMENTS, AND IDENTIFIED PORTFOLIO / CONFIGURATION OPPORTUNITIES) - BLENDED HOURLY RATE</v>
      </c>
      <c r="M396" t="str">
        <f t="shared" si="135"/>
        <v>SVALLANT</v>
      </c>
    </row>
    <row r="397" spans="1:13" ht="30" x14ac:dyDescent="0.25">
      <c r="A397" t="str">
        <f t="shared" si="128"/>
        <v>10</v>
      </c>
      <c r="B397" t="str">
        <f t="shared" si="129"/>
        <v>066</v>
      </c>
      <c r="C397" t="str">
        <f t="shared" si="130"/>
        <v>3010106</v>
      </c>
      <c r="D397" t="str">
        <f t="shared" si="131"/>
        <v>03</v>
      </c>
      <c r="E397" t="str">
        <f t="shared" si="136"/>
        <v>639900</v>
      </c>
      <c r="F397" t="str">
        <f>"11/30/13"</f>
        <v>11/30/13</v>
      </c>
      <c r="G397" t="str">
        <f>"US0130937522"</f>
        <v>US0130937522</v>
      </c>
      <c r="H397" s="3">
        <v>18906.25</v>
      </c>
      <c r="I397" s="3"/>
      <c r="J397" t="str">
        <f t="shared" si="133"/>
        <v>ERNST &amp; YOUNG LLP</v>
      </c>
      <c r="K397" t="str">
        <f t="shared" si="134"/>
        <v>3340609</v>
      </c>
      <c r="L397" s="2" t="str">
        <f>"APA-12796 - 8/19/13-8/18/14 - TASK 2 - PROGRAM MANAGEMENT INFRASTRUCTURE, ACTIVITIES, AND PROTOCOLS - BLENDED HOURLY RATE"</f>
        <v>APA-12796 - 8/19/13-8/18/14 - TASK 2 - PROGRAM MANAGEMENT INFRASTRUCTURE, ACTIVITIES, AND PROTOCOLS - BLENDED HOURLY RATE</v>
      </c>
      <c r="M397" t="str">
        <f t="shared" si="135"/>
        <v>SVALLANT</v>
      </c>
    </row>
    <row r="398" spans="1:13" ht="30" x14ac:dyDescent="0.25">
      <c r="A398" t="str">
        <f t="shared" si="128"/>
        <v>10</v>
      </c>
      <c r="B398" t="str">
        <f t="shared" si="129"/>
        <v>066</v>
      </c>
      <c r="C398" t="str">
        <f t="shared" si="130"/>
        <v>3010106</v>
      </c>
      <c r="D398" t="str">
        <f t="shared" si="131"/>
        <v>03</v>
      </c>
      <c r="E398" t="str">
        <f t="shared" si="136"/>
        <v>639900</v>
      </c>
      <c r="F398" t="str">
        <f>"11/30/13"</f>
        <v>11/30/13</v>
      </c>
      <c r="G398" t="str">
        <f>"US0130937522"</f>
        <v>US0130937522</v>
      </c>
      <c r="H398" s="3">
        <v>102600</v>
      </c>
      <c r="I398" s="3"/>
      <c r="J398" t="str">
        <f t="shared" si="133"/>
        <v>ERNST &amp; YOUNG LLP</v>
      </c>
      <c r="K398" t="str">
        <f t="shared" si="134"/>
        <v>3340609</v>
      </c>
      <c r="L398" s="2" t="str">
        <f>"APA-12796 - 8/19/13-8/18/14 - TASK 2 - CURRENT STATE ASSESSMENT (INCLUDES INTERVIEW INSIGHTS, PORTFOLIO ANALYSIS AND COST BASELINE) - BLENDED HOURLY RATE"</f>
        <v>APA-12796 - 8/19/13-8/18/14 - TASK 2 - CURRENT STATE ASSESSMENT (INCLUDES INTERVIEW INSIGHTS, PORTFOLIO ANALYSIS AND COST BASELINE) - BLENDED HOURLY RATE</v>
      </c>
      <c r="M398" t="str">
        <f t="shared" si="135"/>
        <v>SVALLANT</v>
      </c>
    </row>
    <row r="399" spans="1:13" ht="45" x14ac:dyDescent="0.25">
      <c r="A399" t="str">
        <f t="shared" si="128"/>
        <v>10</v>
      </c>
      <c r="B399" t="str">
        <f t="shared" si="129"/>
        <v>066</v>
      </c>
      <c r="C399" t="str">
        <f t="shared" si="130"/>
        <v>3010106</v>
      </c>
      <c r="D399" t="str">
        <f t="shared" si="131"/>
        <v>03</v>
      </c>
      <c r="E399" t="str">
        <f t="shared" si="136"/>
        <v>639900</v>
      </c>
      <c r="F399" t="str">
        <f>"11/30/13"</f>
        <v>11/30/13</v>
      </c>
      <c r="G399" t="str">
        <f>"US0130937522"</f>
        <v>US0130937522</v>
      </c>
      <c r="H399" s="3">
        <v>13770</v>
      </c>
      <c r="I399" s="3"/>
      <c r="J399" t="str">
        <f t="shared" si="133"/>
        <v>ERNST &amp; YOUNG LLP</v>
      </c>
      <c r="K399" t="str">
        <f t="shared" si="134"/>
        <v>3340609</v>
      </c>
      <c r="L399" s="2" t="str">
        <f>"APA-12796 - 8/19/13-8/18/14 - TASK 2 - OPPORTUNITY ASSESSMENT (INCLUDES OPERATIONAL REQUIREMENTS, AND IDENTIFIED PORTFOLIO / CONFIGURATION OPPORTUNITIES) - BLENDED HOURLY RATE"</f>
        <v>APA-12796 - 8/19/13-8/18/14 - TASK 2 - OPPORTUNITY ASSESSMENT (INCLUDES OPERATIONAL REQUIREMENTS, AND IDENTIFIED PORTFOLIO / CONFIGURATION OPPORTUNITIES) - BLENDED HOURLY RATE</v>
      </c>
      <c r="M399" t="str">
        <f t="shared" si="135"/>
        <v>SVALLANT</v>
      </c>
    </row>
    <row r="400" spans="1:13" x14ac:dyDescent="0.25">
      <c r="A400" t="str">
        <f t="shared" si="128"/>
        <v>10</v>
      </c>
      <c r="B400" t="str">
        <f t="shared" si="129"/>
        <v>066</v>
      </c>
      <c r="C400" t="str">
        <f t="shared" si="130"/>
        <v>3010106</v>
      </c>
      <c r="D400" t="str">
        <f t="shared" si="131"/>
        <v>03</v>
      </c>
      <c r="E400" t="str">
        <f>"646310"</f>
        <v>646310</v>
      </c>
      <c r="F400" t="str">
        <f>"06/30/14"</f>
        <v>06/30/14</v>
      </c>
      <c r="G400" t="str">
        <f>"US013102894a1"</f>
        <v>US013102894a1</v>
      </c>
      <c r="H400" s="3">
        <v>17374.509999999998</v>
      </c>
      <c r="I400" s="3"/>
      <c r="J400" t="str">
        <f t="shared" si="133"/>
        <v>ERNST &amp; YOUNG LLP</v>
      </c>
      <c r="K400" t="str">
        <f t="shared" si="134"/>
        <v>3340609</v>
      </c>
      <c r="L400" s="2" t="str">
        <f>"APA-12796 - 8/19/13-8/18/16 - PRE-APPROVED TRAVEL"</f>
        <v>APA-12796 - 8/19/13-8/18/16 - PRE-APPROVED TRAVEL</v>
      </c>
      <c r="M400" t="str">
        <f t="shared" si="135"/>
        <v>SVALLANT</v>
      </c>
    </row>
    <row r="401" spans="1:13" x14ac:dyDescent="0.25">
      <c r="H401" s="6">
        <f>SUM(H388:H400)</f>
        <v>485424.51</v>
      </c>
      <c r="I401" s="6">
        <f>SUM(H388:H400)</f>
        <v>485424.51</v>
      </c>
      <c r="L401" s="2"/>
      <c r="M401" t="str">
        <f>"MFUSCO"</f>
        <v>MFUSCO</v>
      </c>
    </row>
    <row r="402" spans="1:13" x14ac:dyDescent="0.25">
      <c r="H402" s="3"/>
      <c r="I402" s="3"/>
      <c r="L402" s="2"/>
    </row>
    <row r="403" spans="1:13" x14ac:dyDescent="0.25">
      <c r="A403" t="str">
        <f>"10"</f>
        <v>10</v>
      </c>
      <c r="B403" t="str">
        <f>"066"</f>
        <v>066</v>
      </c>
      <c r="C403" t="str">
        <f>"3010106"</f>
        <v>3010106</v>
      </c>
      <c r="D403" t="str">
        <f>"03"</f>
        <v>03</v>
      </c>
      <c r="E403" t="str">
        <f>"640100"</f>
        <v>640100</v>
      </c>
      <c r="F403" t="str">
        <f>"08/31/14"</f>
        <v>08/31/14</v>
      </c>
      <c r="G403" t="str">
        <f>"6192"</f>
        <v>6192</v>
      </c>
      <c r="H403" s="6">
        <v>120</v>
      </c>
      <c r="I403" s="6">
        <f>SUM(H403)</f>
        <v>120</v>
      </c>
      <c r="J403" t="str">
        <f>"FERDIES KEY SHOP INC"</f>
        <v>FERDIES KEY SHOP INC</v>
      </c>
      <c r="K403" t="str">
        <f>"3389895"</f>
        <v>3389895</v>
      </c>
      <c r="L403" s="2" t="str">
        <f>"open vault and repair panic device"</f>
        <v>open vault and repair panic device</v>
      </c>
    </row>
    <row r="404" spans="1:13" x14ac:dyDescent="0.25">
      <c r="H404" s="3"/>
      <c r="I404" s="3"/>
      <c r="L404" s="2"/>
      <c r="M404" t="str">
        <f>"SVALLANT"</f>
        <v>SVALLANT</v>
      </c>
    </row>
    <row r="405" spans="1:13" x14ac:dyDescent="0.25">
      <c r="A405" t="str">
        <f t="shared" ref="A405:A414" si="137">"10"</f>
        <v>10</v>
      </c>
      <c r="B405" t="str">
        <f t="shared" ref="B405:B414" si="138">"066"</f>
        <v>066</v>
      </c>
      <c r="C405" t="str">
        <f t="shared" ref="C405:C414" si="139">"3010106"</f>
        <v>3010106</v>
      </c>
      <c r="D405" t="str">
        <f t="shared" ref="D405:D414" si="140">"03"</f>
        <v>03</v>
      </c>
      <c r="E405" t="str">
        <f t="shared" ref="E405:E414" si="141">"640100"</f>
        <v>640100</v>
      </c>
      <c r="F405" t="str">
        <f>"10/31/14"</f>
        <v>10/31/14</v>
      </c>
      <c r="G405" t="str">
        <f>"00414443"</f>
        <v>00414443</v>
      </c>
      <c r="H405" s="4">
        <v>44</v>
      </c>
      <c r="I405" s="3"/>
      <c r="J405" t="str">
        <f t="shared" ref="J405:J414" si="142">"FIRE EXTINGUISHER SERVICE CO INC"</f>
        <v>FIRE EXTINGUISHER SERVICE CO INC</v>
      </c>
      <c r="K405" t="str">
        <f t="shared" ref="K405:K414" si="143">"3272807"</f>
        <v>3272807</v>
      </c>
      <c r="L405" s="2" t="str">
        <f>"MPA-138 - 5/1/12 - 12/31/14 - ALL PURPOSE - 5 LBS - ANNUAL INSPECTION"</f>
        <v>MPA-138 - 5/1/12 - 12/31/14 - ALL PURPOSE - 5 LBS - ANNUAL INSPECTION</v>
      </c>
    </row>
    <row r="406" spans="1:13" x14ac:dyDescent="0.25">
      <c r="A406" t="str">
        <f t="shared" si="137"/>
        <v>10</v>
      </c>
      <c r="B406" t="str">
        <f t="shared" si="138"/>
        <v>066</v>
      </c>
      <c r="C406" t="str">
        <f t="shared" si="139"/>
        <v>3010106</v>
      </c>
      <c r="D406" t="str">
        <f t="shared" si="140"/>
        <v>03</v>
      </c>
      <c r="E406" t="str">
        <f t="shared" si="141"/>
        <v>640100</v>
      </c>
      <c r="F406" t="str">
        <f>"10/31/14"</f>
        <v>10/31/14</v>
      </c>
      <c r="G406" t="str">
        <f>"00414443"</f>
        <v>00414443</v>
      </c>
      <c r="H406" s="4">
        <v>32</v>
      </c>
      <c r="I406" s="3"/>
      <c r="J406" t="str">
        <f t="shared" si="142"/>
        <v>FIRE EXTINGUISHER SERVICE CO INC</v>
      </c>
      <c r="K406" t="str">
        <f t="shared" si="143"/>
        <v>3272807</v>
      </c>
      <c r="L406" s="2" t="str">
        <f>"MPA-138 - 5/1/12 - 12/31/14 - ALL PURPOSE - 10 LBS - ANNUAL INSPECTION"</f>
        <v>MPA-138 - 5/1/12 - 12/31/14 - ALL PURPOSE - 10 LBS - ANNUAL INSPECTION</v>
      </c>
      <c r="M406" t="str">
        <f t="shared" ref="M406:M415" si="144">"SVALLANT"</f>
        <v>SVALLANT</v>
      </c>
    </row>
    <row r="407" spans="1:13" ht="30" x14ac:dyDescent="0.25">
      <c r="A407" t="str">
        <f t="shared" si="137"/>
        <v>10</v>
      </c>
      <c r="B407" t="str">
        <f t="shared" si="138"/>
        <v>066</v>
      </c>
      <c r="C407" t="str">
        <f t="shared" si="139"/>
        <v>3010106</v>
      </c>
      <c r="D407" t="str">
        <f t="shared" si="140"/>
        <v>03</v>
      </c>
      <c r="E407" t="str">
        <f t="shared" si="141"/>
        <v>640100</v>
      </c>
      <c r="F407" t="str">
        <f>"10/31/14"</f>
        <v>10/31/14</v>
      </c>
      <c r="G407" t="str">
        <f>"00414443"</f>
        <v>00414443</v>
      </c>
      <c r="H407" s="4">
        <v>3.9</v>
      </c>
      <c r="I407" s="3"/>
      <c r="J407" t="str">
        <f t="shared" si="142"/>
        <v>FIRE EXTINGUISHER SERVICE CO INC</v>
      </c>
      <c r="K407" t="str">
        <f t="shared" si="143"/>
        <v>3272807</v>
      </c>
      <c r="L407" s="2" t="str">
        <f>"MPA-138 - 5/1/12 - 12/31/14 - SIX YEAR DRY CHEMICAL PURPLE K EXTINGUISHERS - PERIODIC MAINT &amp; TESTING (INCLUDING ALL LABOR CHARGES)"</f>
        <v>MPA-138 - 5/1/12 - 12/31/14 - SIX YEAR DRY CHEMICAL PURPLE K EXTINGUISHERS - PERIODIC MAINT &amp; TESTING (INCLUDING ALL LABOR CHARGES)</v>
      </c>
      <c r="M407" t="str">
        <f t="shared" si="144"/>
        <v>SVALLANT</v>
      </c>
    </row>
    <row r="408" spans="1:13" x14ac:dyDescent="0.25">
      <c r="A408" t="str">
        <f t="shared" si="137"/>
        <v>10</v>
      </c>
      <c r="B408" t="str">
        <f t="shared" si="138"/>
        <v>066</v>
      </c>
      <c r="C408" t="str">
        <f t="shared" si="139"/>
        <v>3010106</v>
      </c>
      <c r="D408" t="str">
        <f t="shared" si="140"/>
        <v>03</v>
      </c>
      <c r="E408" t="str">
        <f t="shared" si="141"/>
        <v>640100</v>
      </c>
      <c r="F408" t="str">
        <f>"10/31/14"</f>
        <v>10/31/14</v>
      </c>
      <c r="G408" t="str">
        <f>"00414443"</f>
        <v>00414443</v>
      </c>
      <c r="H408" s="4">
        <v>9</v>
      </c>
      <c r="I408" s="3"/>
      <c r="J408" t="str">
        <f t="shared" si="142"/>
        <v>FIRE EXTINGUISHER SERVICE CO INC</v>
      </c>
      <c r="K408" t="str">
        <f t="shared" si="143"/>
        <v>3272807</v>
      </c>
      <c r="L408" s="2" t="str">
        <f>"MPA-138 - 5/1/12 - 12/31/14 - ALL PURPOSE - 5 LBS - ANNUAL REFILL"</f>
        <v>MPA-138 - 5/1/12 - 12/31/14 - ALL PURPOSE - 5 LBS - ANNUAL REFILL</v>
      </c>
      <c r="M408" t="str">
        <f t="shared" si="144"/>
        <v>SVALLANT</v>
      </c>
    </row>
    <row r="409" spans="1:13" ht="30" x14ac:dyDescent="0.25">
      <c r="A409" t="str">
        <f t="shared" si="137"/>
        <v>10</v>
      </c>
      <c r="B409" t="str">
        <f t="shared" si="138"/>
        <v>066</v>
      </c>
      <c r="C409" t="str">
        <f t="shared" si="139"/>
        <v>3010106</v>
      </c>
      <c r="D409" t="str">
        <f t="shared" si="140"/>
        <v>03</v>
      </c>
      <c r="E409" t="str">
        <f t="shared" si="141"/>
        <v>640100</v>
      </c>
      <c r="F409" t="str">
        <f>"10/31/14"</f>
        <v>10/31/14</v>
      </c>
      <c r="G409" t="str">
        <f>"00414443"</f>
        <v>00414443</v>
      </c>
      <c r="H409" s="4">
        <v>93.75</v>
      </c>
      <c r="I409" s="3"/>
      <c r="J409" t="str">
        <f t="shared" si="142"/>
        <v>FIRE EXTINGUISHER SERVICE CO INC</v>
      </c>
      <c r="K409" t="str">
        <f t="shared" si="143"/>
        <v>3272807</v>
      </c>
      <c r="L409" s="2" t="str">
        <f>"MPA-138 - 5/1/12 - 10/31/14 - TEN (10) PERCENT MARKUP OVER VENDOR COST FOR PARTS (NO SEPARATE LABOR CHARGES FOR PARTS REPLACED ON FIXED UNITS)."</f>
        <v>MPA-138 - 5/1/12 - 10/31/14 - TEN (10) PERCENT MARKUP OVER VENDOR COST FOR PARTS (NO SEPARATE LABOR CHARGES FOR PARTS REPLACED ON FIXED UNITS).</v>
      </c>
      <c r="M409" t="str">
        <f t="shared" si="144"/>
        <v>SVALLANT</v>
      </c>
    </row>
    <row r="410" spans="1:13" x14ac:dyDescent="0.25">
      <c r="A410" t="str">
        <f t="shared" si="137"/>
        <v>10</v>
      </c>
      <c r="B410" t="str">
        <f t="shared" si="138"/>
        <v>066</v>
      </c>
      <c r="C410" t="str">
        <f t="shared" si="139"/>
        <v>3010106</v>
      </c>
      <c r="D410" t="str">
        <f t="shared" si="140"/>
        <v>03</v>
      </c>
      <c r="E410" t="str">
        <f t="shared" si="141"/>
        <v>640100</v>
      </c>
      <c r="F410" t="str">
        <f>"11/30/15"</f>
        <v>11/30/15</v>
      </c>
      <c r="G410" t="str">
        <f>"00417308"</f>
        <v>00417308</v>
      </c>
      <c r="H410" s="4">
        <v>32</v>
      </c>
      <c r="I410" s="3"/>
      <c r="J410" t="str">
        <f t="shared" si="142"/>
        <v>FIRE EXTINGUISHER SERVICE CO INC</v>
      </c>
      <c r="K410" t="str">
        <f t="shared" si="143"/>
        <v>3272807</v>
      </c>
      <c r="L410" s="2" t="str">
        <f>"MPA-138 - FY16 - ALL PURPOSE - 10 LBS - ANNUAL INSPECTION"</f>
        <v>MPA-138 - FY16 - ALL PURPOSE - 10 LBS - ANNUAL INSPECTION</v>
      </c>
      <c r="M410" t="str">
        <f t="shared" si="144"/>
        <v>SVALLANT</v>
      </c>
    </row>
    <row r="411" spans="1:13" x14ac:dyDescent="0.25">
      <c r="A411" t="str">
        <f t="shared" si="137"/>
        <v>10</v>
      </c>
      <c r="B411" t="str">
        <f t="shared" si="138"/>
        <v>066</v>
      </c>
      <c r="C411" t="str">
        <f t="shared" si="139"/>
        <v>3010106</v>
      </c>
      <c r="D411" t="str">
        <f t="shared" si="140"/>
        <v>03</v>
      </c>
      <c r="E411" t="str">
        <f t="shared" si="141"/>
        <v>640100</v>
      </c>
      <c r="F411" t="str">
        <f>"11/30/15"</f>
        <v>11/30/15</v>
      </c>
      <c r="G411" t="str">
        <f>"00417308"</f>
        <v>00417308</v>
      </c>
      <c r="H411" s="4">
        <v>14</v>
      </c>
      <c r="I411" s="3"/>
      <c r="J411" t="str">
        <f t="shared" si="142"/>
        <v>FIRE EXTINGUISHER SERVICE CO INC</v>
      </c>
      <c r="K411" t="str">
        <f t="shared" si="143"/>
        <v>3272807</v>
      </c>
      <c r="L411" s="2" t="str">
        <f>"MPA-138 - FY16 - ALL PURPOSE - 10 LBS - ANNUAL REFILL"</f>
        <v>MPA-138 - FY16 - ALL PURPOSE - 10 LBS - ANNUAL REFILL</v>
      </c>
      <c r="M411" t="str">
        <f t="shared" si="144"/>
        <v>SVALLANT</v>
      </c>
    </row>
    <row r="412" spans="1:13" x14ac:dyDescent="0.25">
      <c r="A412" t="str">
        <f t="shared" si="137"/>
        <v>10</v>
      </c>
      <c r="B412" t="str">
        <f t="shared" si="138"/>
        <v>066</v>
      </c>
      <c r="C412" t="str">
        <f t="shared" si="139"/>
        <v>3010106</v>
      </c>
      <c r="D412" t="str">
        <f t="shared" si="140"/>
        <v>03</v>
      </c>
      <c r="E412" t="str">
        <f t="shared" si="141"/>
        <v>640100</v>
      </c>
      <c r="F412" t="str">
        <f>"11/30/15"</f>
        <v>11/30/15</v>
      </c>
      <c r="G412" t="str">
        <f>"00417308"</f>
        <v>00417308</v>
      </c>
      <c r="H412" s="4">
        <v>44</v>
      </c>
      <c r="I412" s="3"/>
      <c r="J412" t="str">
        <f t="shared" si="142"/>
        <v>FIRE EXTINGUISHER SERVICE CO INC</v>
      </c>
      <c r="K412" t="str">
        <f t="shared" si="143"/>
        <v>3272807</v>
      </c>
      <c r="L412" s="2" t="str">
        <f>"MPA-138 - FY16 - ALL PURPOSE - 5 LBS - ANNUAL INSPECTION"</f>
        <v>MPA-138 - FY16 - ALL PURPOSE - 5 LBS - ANNUAL INSPECTION</v>
      </c>
      <c r="M412" t="str">
        <f t="shared" si="144"/>
        <v>SVALLANT</v>
      </c>
    </row>
    <row r="413" spans="1:13" x14ac:dyDescent="0.25">
      <c r="A413" t="str">
        <f t="shared" si="137"/>
        <v>10</v>
      </c>
      <c r="B413" t="str">
        <f t="shared" si="138"/>
        <v>066</v>
      </c>
      <c r="C413" t="str">
        <f t="shared" si="139"/>
        <v>3010106</v>
      </c>
      <c r="D413" t="str">
        <f t="shared" si="140"/>
        <v>03</v>
      </c>
      <c r="E413" t="str">
        <f t="shared" si="141"/>
        <v>640100</v>
      </c>
      <c r="F413" t="str">
        <f>"11/30/15"</f>
        <v>11/30/15</v>
      </c>
      <c r="G413" t="str">
        <f>"00417308"</f>
        <v>00417308</v>
      </c>
      <c r="H413" s="4">
        <v>3</v>
      </c>
      <c r="I413" s="3"/>
      <c r="J413" t="str">
        <f t="shared" si="142"/>
        <v>FIRE EXTINGUISHER SERVICE CO INC</v>
      </c>
      <c r="K413" t="str">
        <f t="shared" si="143"/>
        <v>3272807</v>
      </c>
      <c r="L413" s="2" t="str">
        <f>"MPA-138 - FY16 - ALL PURPOSE - 5 LBS - ANNUAL REFILL"</f>
        <v>MPA-138 - FY16 - ALL PURPOSE - 5 LBS - ANNUAL REFILL</v>
      </c>
      <c r="M413" t="str">
        <f t="shared" si="144"/>
        <v>SVALLANT</v>
      </c>
    </row>
    <row r="414" spans="1:13" ht="30" x14ac:dyDescent="0.25">
      <c r="A414" t="str">
        <f t="shared" si="137"/>
        <v>10</v>
      </c>
      <c r="B414" t="str">
        <f t="shared" si="138"/>
        <v>066</v>
      </c>
      <c r="C414" t="str">
        <f t="shared" si="139"/>
        <v>3010106</v>
      </c>
      <c r="D414" t="str">
        <f t="shared" si="140"/>
        <v>03</v>
      </c>
      <c r="E414" t="str">
        <f t="shared" si="141"/>
        <v>640100</v>
      </c>
      <c r="F414" t="str">
        <f>"11/30/15"</f>
        <v>11/30/15</v>
      </c>
      <c r="G414" t="str">
        <f>"00417308"</f>
        <v>00417308</v>
      </c>
      <c r="H414" s="4">
        <v>72</v>
      </c>
      <c r="I414" s="3"/>
      <c r="J414" t="str">
        <f t="shared" si="142"/>
        <v>FIRE EXTINGUISHER SERVICE CO INC</v>
      </c>
      <c r="K414" t="str">
        <f t="shared" si="143"/>
        <v>3272807</v>
      </c>
      <c r="L414" s="2" t="str">
        <f>"MPA-138 - FY16 - TEN (10) PERCENT MARKUP OVER VENDOR COST FOR PARTS (NO SEPARATE LABOR CHARGES FOR PARTS REPLACED ON FIXED UNITS)."</f>
        <v>MPA-138 - FY16 - TEN (10) PERCENT MARKUP OVER VENDOR COST FOR PARTS (NO SEPARATE LABOR CHARGES FOR PARTS REPLACED ON FIXED UNITS).</v>
      </c>
      <c r="M414" t="str">
        <f t="shared" si="144"/>
        <v>SVALLANT</v>
      </c>
    </row>
    <row r="415" spans="1:13" x14ac:dyDescent="0.25">
      <c r="H415" s="6">
        <f>SUM(H405:H414)</f>
        <v>347.65</v>
      </c>
      <c r="I415" s="6">
        <f>SUM(H405:H414)</f>
        <v>347.65</v>
      </c>
      <c r="L415" s="2"/>
      <c r="M415" t="str">
        <f t="shared" si="144"/>
        <v>SVALLANT</v>
      </c>
    </row>
    <row r="416" spans="1:13" x14ac:dyDescent="0.25">
      <c r="H416" s="3"/>
      <c r="I416" s="3"/>
      <c r="L416" s="2"/>
    </row>
    <row r="417" spans="1:13" ht="30" x14ac:dyDescent="0.25">
      <c r="A417" t="str">
        <f t="shared" ref="A417:A423" si="145">"10"</f>
        <v>10</v>
      </c>
      <c r="B417" t="str">
        <f t="shared" ref="B417:B423" si="146">"066"</f>
        <v>066</v>
      </c>
      <c r="C417" t="str">
        <f t="shared" ref="C417:C423" si="147">"3010106"</f>
        <v>3010106</v>
      </c>
      <c r="D417" t="str">
        <f t="shared" ref="D417:D423" si="148">"03"</f>
        <v>03</v>
      </c>
      <c r="E417" t="str">
        <f t="shared" ref="E417:E423" si="149">"634100"</f>
        <v>634100</v>
      </c>
      <c r="F417" t="str">
        <f>"02/28/17"</f>
        <v>02/28/17</v>
      </c>
      <c r="G417" t="str">
        <f>"0190560"</f>
        <v>0190560</v>
      </c>
      <c r="H417" s="3">
        <v>598.5</v>
      </c>
      <c r="I417" s="3"/>
      <c r="J417" t="str">
        <f t="shared" ref="J417:J423" si="150">"FUSS &amp; ONEILL INC"</f>
        <v>FUSS &amp; ONEILL INC</v>
      </c>
      <c r="K417" t="str">
        <f>"3481406"</f>
        <v>3481406</v>
      </c>
      <c r="L417" s="2" t="str">
        <f t="shared" ref="L417:L423" si="151">"ELECTRICAL ENGINEERING SERVICES - GENERATOR DISTRIBUTION DESIGN AT 180 SOUTH MAIN STREET"</f>
        <v>ELECTRICAL ENGINEERING SERVICES - GENERATOR DISTRIBUTION DESIGN AT 180 SOUTH MAIN STREET</v>
      </c>
    </row>
    <row r="418" spans="1:13" ht="30" x14ac:dyDescent="0.25">
      <c r="A418" t="str">
        <f t="shared" si="145"/>
        <v>10</v>
      </c>
      <c r="B418" t="str">
        <f t="shared" si="146"/>
        <v>066</v>
      </c>
      <c r="C418" t="str">
        <f t="shared" si="147"/>
        <v>3010106</v>
      </c>
      <c r="D418" t="str">
        <f t="shared" si="148"/>
        <v>03</v>
      </c>
      <c r="E418" t="str">
        <f t="shared" si="149"/>
        <v>634100</v>
      </c>
      <c r="F418" t="str">
        <f>"02/29/16"</f>
        <v>02/29/16</v>
      </c>
      <c r="G418" t="str">
        <f>"0184736"</f>
        <v>0184736</v>
      </c>
      <c r="H418" s="3">
        <v>5040</v>
      </c>
      <c r="I418" s="3"/>
      <c r="J418" t="str">
        <f t="shared" si="150"/>
        <v>FUSS &amp; ONEILL INC</v>
      </c>
      <c r="K418" t="str">
        <f>"3454283"</f>
        <v>3454283</v>
      </c>
      <c r="L418" s="2" t="str">
        <f t="shared" si="151"/>
        <v>ELECTRICAL ENGINEERING SERVICES - GENERATOR DISTRIBUTION DESIGN AT 180 SOUTH MAIN STREET</v>
      </c>
      <c r="M418" t="str">
        <f>"CBISSET@"</f>
        <v>CBISSET@</v>
      </c>
    </row>
    <row r="419" spans="1:13" ht="30" x14ac:dyDescent="0.25">
      <c r="A419" t="str">
        <f t="shared" si="145"/>
        <v>10</v>
      </c>
      <c r="B419" t="str">
        <f t="shared" si="146"/>
        <v>066</v>
      </c>
      <c r="C419" t="str">
        <f t="shared" si="147"/>
        <v>3010106</v>
      </c>
      <c r="D419" t="str">
        <f t="shared" si="148"/>
        <v>03</v>
      </c>
      <c r="E419" t="str">
        <f t="shared" si="149"/>
        <v>634100</v>
      </c>
      <c r="F419" t="str">
        <f>"03/31/16"</f>
        <v>03/31/16</v>
      </c>
      <c r="G419" t="str">
        <f>"0185270"</f>
        <v>0185270</v>
      </c>
      <c r="H419" s="3">
        <v>600</v>
      </c>
      <c r="I419" s="3"/>
      <c r="J419" t="str">
        <f t="shared" si="150"/>
        <v>FUSS &amp; ONEILL INC</v>
      </c>
      <c r="K419" t="str">
        <f>"3454283"</f>
        <v>3454283</v>
      </c>
      <c r="L419" s="2" t="str">
        <f t="shared" si="151"/>
        <v>ELECTRICAL ENGINEERING SERVICES - GENERATOR DISTRIBUTION DESIGN AT 180 SOUTH MAIN STREET</v>
      </c>
      <c r="M419" t="str">
        <f>"CBISSET@"</f>
        <v>CBISSET@</v>
      </c>
    </row>
    <row r="420" spans="1:13" ht="30" x14ac:dyDescent="0.25">
      <c r="A420" t="str">
        <f t="shared" si="145"/>
        <v>10</v>
      </c>
      <c r="B420" t="str">
        <f t="shared" si="146"/>
        <v>066</v>
      </c>
      <c r="C420" t="str">
        <f t="shared" si="147"/>
        <v>3010106</v>
      </c>
      <c r="D420" t="str">
        <f t="shared" si="148"/>
        <v>03</v>
      </c>
      <c r="E420" t="str">
        <f t="shared" si="149"/>
        <v>634100</v>
      </c>
      <c r="F420" t="str">
        <f>"04/30/16"</f>
        <v>04/30/16</v>
      </c>
      <c r="G420" t="str">
        <f>"0185663"</f>
        <v>0185663</v>
      </c>
      <c r="H420" s="3">
        <v>4512</v>
      </c>
      <c r="I420" s="3"/>
      <c r="J420" t="str">
        <f t="shared" si="150"/>
        <v>FUSS &amp; ONEILL INC</v>
      </c>
      <c r="K420" t="str">
        <f>"3454283"</f>
        <v>3454283</v>
      </c>
      <c r="L420" s="2" t="str">
        <f t="shared" si="151"/>
        <v>ELECTRICAL ENGINEERING SERVICES - GENERATOR DISTRIBUTION DESIGN AT 180 SOUTH MAIN STREET</v>
      </c>
      <c r="M420" t="str">
        <f>"CBISSET@"</f>
        <v>CBISSET@</v>
      </c>
    </row>
    <row r="421" spans="1:13" ht="30" x14ac:dyDescent="0.25">
      <c r="A421" t="str">
        <f t="shared" si="145"/>
        <v>10</v>
      </c>
      <c r="B421" t="str">
        <f t="shared" si="146"/>
        <v>066</v>
      </c>
      <c r="C421" t="str">
        <f t="shared" si="147"/>
        <v>3010106</v>
      </c>
      <c r="D421" t="str">
        <f t="shared" si="148"/>
        <v>03</v>
      </c>
      <c r="E421" t="str">
        <f t="shared" si="149"/>
        <v>634100</v>
      </c>
      <c r="F421" t="str">
        <f>"05/31/17"</f>
        <v>05/31/17</v>
      </c>
      <c r="G421" t="str">
        <f>"0193816"</f>
        <v>0193816</v>
      </c>
      <c r="H421" s="3">
        <v>1396.5</v>
      </c>
      <c r="I421" s="3"/>
      <c r="J421" t="str">
        <f t="shared" si="150"/>
        <v>FUSS &amp; ONEILL INC</v>
      </c>
      <c r="K421" t="str">
        <f>"3481406"</f>
        <v>3481406</v>
      </c>
      <c r="L421" s="2" t="str">
        <f t="shared" si="151"/>
        <v>ELECTRICAL ENGINEERING SERVICES - GENERATOR DISTRIBUTION DESIGN AT 180 SOUTH MAIN STREET</v>
      </c>
      <c r="M421" t="str">
        <f>"CBISSET@"</f>
        <v>CBISSET@</v>
      </c>
    </row>
    <row r="422" spans="1:13" ht="30" x14ac:dyDescent="0.25">
      <c r="A422" t="str">
        <f t="shared" si="145"/>
        <v>10</v>
      </c>
      <c r="B422" t="str">
        <f t="shared" si="146"/>
        <v>066</v>
      </c>
      <c r="C422" t="str">
        <f t="shared" si="147"/>
        <v>3010106</v>
      </c>
      <c r="D422" t="str">
        <f t="shared" si="148"/>
        <v>03</v>
      </c>
      <c r="E422" t="str">
        <f t="shared" si="149"/>
        <v>634100</v>
      </c>
      <c r="F422" t="str">
        <f>"12/31/16"</f>
        <v>12/31/16</v>
      </c>
      <c r="G422" t="str">
        <f>"0187814"</f>
        <v>0187814</v>
      </c>
      <c r="H422" s="3">
        <v>6768</v>
      </c>
      <c r="I422" s="3"/>
      <c r="J422" t="str">
        <f t="shared" si="150"/>
        <v>FUSS &amp; ONEILL INC</v>
      </c>
      <c r="K422" t="str">
        <f>"3481406"</f>
        <v>3481406</v>
      </c>
      <c r="L422" s="2" t="str">
        <f t="shared" si="151"/>
        <v>ELECTRICAL ENGINEERING SERVICES - GENERATOR DISTRIBUTION DESIGN AT 180 SOUTH MAIN STREET</v>
      </c>
      <c r="M422" t="str">
        <f>"FJOHNSON"</f>
        <v>FJOHNSON</v>
      </c>
    </row>
    <row r="423" spans="1:13" ht="30" x14ac:dyDescent="0.25">
      <c r="A423" t="str">
        <f t="shared" si="145"/>
        <v>10</v>
      </c>
      <c r="B423" t="str">
        <f t="shared" si="146"/>
        <v>066</v>
      </c>
      <c r="C423" t="str">
        <f t="shared" si="147"/>
        <v>3010106</v>
      </c>
      <c r="D423" t="str">
        <f t="shared" si="148"/>
        <v>03</v>
      </c>
      <c r="E423" t="str">
        <f t="shared" si="149"/>
        <v>634100</v>
      </c>
      <c r="F423" t="str">
        <f>"12/31/16"</f>
        <v>12/31/16</v>
      </c>
      <c r="G423" t="str">
        <f>"0189850"</f>
        <v>0189850</v>
      </c>
      <c r="H423" s="3">
        <v>5640</v>
      </c>
      <c r="I423" s="3"/>
      <c r="J423" t="str">
        <f t="shared" si="150"/>
        <v>FUSS &amp; ONEILL INC</v>
      </c>
      <c r="K423" t="str">
        <f>"3481406"</f>
        <v>3481406</v>
      </c>
      <c r="L423" s="2" t="str">
        <f t="shared" si="151"/>
        <v>ELECTRICAL ENGINEERING SERVICES - GENERATOR DISTRIBUTION DESIGN AT 180 SOUTH MAIN STREET</v>
      </c>
      <c r="M423" t="str">
        <f>"LROBINSO"</f>
        <v>LROBINSO</v>
      </c>
    </row>
    <row r="424" spans="1:13" x14ac:dyDescent="0.25">
      <c r="H424" s="6">
        <f>SUM(H417:H423)</f>
        <v>24555</v>
      </c>
      <c r="I424" s="6">
        <f>SUM(H417:H423)</f>
        <v>24555</v>
      </c>
      <c r="L424" s="2"/>
      <c r="M424" t="str">
        <f>"LROBINSO"</f>
        <v>LROBINSO</v>
      </c>
    </row>
    <row r="425" spans="1:13" x14ac:dyDescent="0.25">
      <c r="H425" s="3"/>
      <c r="I425" s="3"/>
      <c r="L425" s="2"/>
    </row>
    <row r="426" spans="1:13" x14ac:dyDescent="0.25">
      <c r="A426" t="str">
        <f>"10"</f>
        <v>10</v>
      </c>
      <c r="B426" t="str">
        <f>"066"</f>
        <v>066</v>
      </c>
      <c r="C426" t="str">
        <f>"3010106"</f>
        <v>3010106</v>
      </c>
      <c r="D426" t="str">
        <f>"03"</f>
        <v>03</v>
      </c>
      <c r="E426" t="str">
        <f>"640400"</f>
        <v>640400</v>
      </c>
      <c r="F426" t="str">
        <f>"02/28/14"</f>
        <v>02/28/14</v>
      </c>
      <c r="G426" t="str">
        <f>"0679585"</f>
        <v>0679585</v>
      </c>
      <c r="H426" s="6">
        <v>2300</v>
      </c>
      <c r="I426" s="6">
        <f>SUM(H426)</f>
        <v>2300</v>
      </c>
      <c r="J426" t="str">
        <f>"GZA GEOENVIRONMENTAL INC"</f>
        <v>GZA GEOENVIRONMENTAL INC</v>
      </c>
      <c r="K426" t="str">
        <f>"3363162"</f>
        <v>3363162</v>
      </c>
      <c r="L426" s="2" t="str">
        <f>"Asbestos and hazardous materials assessment for 180 South Main Street."</f>
        <v>Asbestos and hazardous materials assessment for 180 South Main Street.</v>
      </c>
    </row>
    <row r="427" spans="1:13" x14ac:dyDescent="0.25">
      <c r="H427" s="6"/>
      <c r="I427" s="6"/>
      <c r="L427" s="2"/>
      <c r="M427" t="str">
        <f>"SVALLANT"</f>
        <v>SVALLANT</v>
      </c>
    </row>
    <row r="428" spans="1:13" x14ac:dyDescent="0.25">
      <c r="A428" t="str">
        <f t="shared" ref="A428:A440" si="152">"10"</f>
        <v>10</v>
      </c>
      <c r="B428" t="str">
        <f t="shared" ref="B428:B440" si="153">"066"</f>
        <v>066</v>
      </c>
      <c r="C428" t="str">
        <f t="shared" ref="C428:C440" si="154">"3010106"</f>
        <v>3010106</v>
      </c>
      <c r="D428" t="str">
        <f t="shared" ref="D428:D440" si="155">"03"</f>
        <v>03</v>
      </c>
      <c r="E428" t="str">
        <f>"641400"</f>
        <v>641400</v>
      </c>
      <c r="F428" t="str">
        <f>"12/31/13"</f>
        <v>12/31/13</v>
      </c>
      <c r="G428" t="str">
        <f>"53442441"</f>
        <v>53442441</v>
      </c>
      <c r="H428" s="4">
        <v>2176.8000000000002</v>
      </c>
      <c r="I428" s="3"/>
      <c r="J428" t="str">
        <f t="shared" ref="J428:J440" si="156">"HEWLETT PACKARD COMPANY"</f>
        <v>HEWLETT PACKARD COMPANY</v>
      </c>
      <c r="K428" t="str">
        <f t="shared" ref="K428:K440" si="157">"3346403"</f>
        <v>3346403</v>
      </c>
      <c r="L428" s="2" t="str">
        <f>"Part No: UV394E - HP 3 year 4 hour 24x7 MSA2000 G3 Hardware Support"</f>
        <v>Part No: UV394E - HP 3 year 4 hour 24x7 MSA2000 G3 Hardware Support</v>
      </c>
    </row>
    <row r="429" spans="1:13" ht="30" x14ac:dyDescent="0.25">
      <c r="A429" t="str">
        <f t="shared" si="152"/>
        <v>10</v>
      </c>
      <c r="B429" t="str">
        <f t="shared" si="153"/>
        <v>066</v>
      </c>
      <c r="C429" t="str">
        <f t="shared" si="154"/>
        <v>3010106</v>
      </c>
      <c r="D429" t="str">
        <f t="shared" si="155"/>
        <v>03</v>
      </c>
      <c r="E429" t="str">
        <f>"641400"</f>
        <v>641400</v>
      </c>
      <c r="F429" t="str">
        <f>"12/31/13"</f>
        <v>12/31/13</v>
      </c>
      <c r="G429" t="str">
        <f>"53442441"</f>
        <v>53442441</v>
      </c>
      <c r="H429" s="4">
        <v>403.2</v>
      </c>
      <c r="I429" s="3"/>
      <c r="J429" t="str">
        <f t="shared" si="156"/>
        <v>HEWLETT PACKARD COMPANY</v>
      </c>
      <c r="K429" t="str">
        <f t="shared" si="157"/>
        <v>3346403</v>
      </c>
      <c r="L429" s="2" t="str">
        <f>"Part No: UE890E - HP Smart Buy 4-Hour On-Site Service-24-Hour x 7-Day Coverage, 3 Years, Electronic"</f>
        <v>Part No: UE890E - HP Smart Buy 4-Hour On-Site Service-24-Hour x 7-Day Coverage, 3 Years, Electronic</v>
      </c>
      <c r="M429" t="str">
        <f t="shared" ref="M429:M441" si="158">"SVALLANT"</f>
        <v>SVALLANT</v>
      </c>
    </row>
    <row r="430" spans="1:13" x14ac:dyDescent="0.25">
      <c r="A430" t="str">
        <f t="shared" si="152"/>
        <v>10</v>
      </c>
      <c r="B430" t="str">
        <f t="shared" si="153"/>
        <v>066</v>
      </c>
      <c r="C430" t="str">
        <f t="shared" si="154"/>
        <v>3010106</v>
      </c>
      <c r="D430" t="str">
        <f t="shared" si="155"/>
        <v>03</v>
      </c>
      <c r="E430" t="str">
        <f t="shared" ref="E430:E440" si="159">"661711"</f>
        <v>661711</v>
      </c>
      <c r="F430" t="str">
        <f t="shared" ref="F430:F435" si="160">"01/31/14"</f>
        <v>01/31/14</v>
      </c>
      <c r="G430" t="str">
        <f>"53442926"</f>
        <v>53442926</v>
      </c>
      <c r="H430" s="4">
        <v>240</v>
      </c>
      <c r="I430" s="3"/>
      <c r="J430" t="str">
        <f t="shared" si="156"/>
        <v>HEWLETT PACKARD COMPANY</v>
      </c>
      <c r="K430" t="str">
        <f t="shared" si="157"/>
        <v>3346403</v>
      </c>
      <c r="L430" s="2" t="str">
        <f>"Part No: AJ835A - HP 2m Multi-mode OM3 LC/LC Optical Cable"</f>
        <v>Part No: AJ835A - HP 2m Multi-mode OM3 LC/LC Optical Cable</v>
      </c>
      <c r="M430" t="str">
        <f t="shared" si="158"/>
        <v>SVALLANT</v>
      </c>
    </row>
    <row r="431" spans="1:13" x14ac:dyDescent="0.25">
      <c r="A431" t="str">
        <f t="shared" si="152"/>
        <v>10</v>
      </c>
      <c r="B431" t="str">
        <f t="shared" si="153"/>
        <v>066</v>
      </c>
      <c r="C431" t="str">
        <f t="shared" si="154"/>
        <v>3010106</v>
      </c>
      <c r="D431" t="str">
        <f t="shared" si="155"/>
        <v>03</v>
      </c>
      <c r="E431" t="str">
        <f t="shared" si="159"/>
        <v>661711</v>
      </c>
      <c r="F431" t="str">
        <f t="shared" si="160"/>
        <v>01/31/14</v>
      </c>
      <c r="G431" t="str">
        <f>"53442926"</f>
        <v>53442926</v>
      </c>
      <c r="H431" s="4">
        <v>5558.4</v>
      </c>
      <c r="I431" s="3"/>
      <c r="J431" t="str">
        <f t="shared" si="156"/>
        <v>HEWLETT PACKARD COMPANY</v>
      </c>
      <c r="K431" t="str">
        <f t="shared" si="157"/>
        <v>3346403</v>
      </c>
      <c r="L431" s="2" t="str">
        <f>"Part No: C8S58A - HP MSA 600GB SAS 10K SFF (2.5-inch) Dual Port Ent 3yr Warranty Hard Drive"</f>
        <v>Part No: C8S58A - HP MSA 600GB SAS 10K SFF (2.5-inch) Dual Port Ent 3yr Warranty Hard Drive</v>
      </c>
      <c r="M431" t="str">
        <f t="shared" si="158"/>
        <v>SVALLANT</v>
      </c>
    </row>
    <row r="432" spans="1:13" ht="30" x14ac:dyDescent="0.25">
      <c r="A432" t="str">
        <f t="shared" si="152"/>
        <v>10</v>
      </c>
      <c r="B432" t="str">
        <f t="shared" si="153"/>
        <v>066</v>
      </c>
      <c r="C432" t="str">
        <f t="shared" si="154"/>
        <v>3010106</v>
      </c>
      <c r="D432" t="str">
        <f t="shared" si="155"/>
        <v>03</v>
      </c>
      <c r="E432" t="str">
        <f t="shared" si="159"/>
        <v>661711</v>
      </c>
      <c r="F432" t="str">
        <f t="shared" si="160"/>
        <v>01/31/14</v>
      </c>
      <c r="G432" t="str">
        <f>"53442926"</f>
        <v>53442926</v>
      </c>
      <c r="H432" s="4">
        <v>320</v>
      </c>
      <c r="I432" s="3"/>
      <c r="J432" t="str">
        <f t="shared" si="156"/>
        <v>HEWLETT PACKARD COMPANY</v>
      </c>
      <c r="K432" t="str">
        <f t="shared" si="157"/>
        <v>3346403</v>
      </c>
      <c r="L432" s="2" t="str">
        <f>"Part No: C8R23A - HP MSA 2040 8Gb Short Wave Fibre Channel C8R23A SFP+ 4-Pack Transceive"</f>
        <v>Part No: C8R23A - HP MSA 2040 8Gb Short Wave Fibre Channel C8R23A SFP+ 4-Pack Transceive</v>
      </c>
      <c r="M432" t="str">
        <f t="shared" si="158"/>
        <v>SVALLANT</v>
      </c>
    </row>
    <row r="433" spans="1:13" x14ac:dyDescent="0.25">
      <c r="A433" t="str">
        <f t="shared" si="152"/>
        <v>10</v>
      </c>
      <c r="B433" t="str">
        <f t="shared" si="153"/>
        <v>066</v>
      </c>
      <c r="C433" t="str">
        <f t="shared" si="154"/>
        <v>3010106</v>
      </c>
      <c r="D433" t="str">
        <f t="shared" si="155"/>
        <v>03</v>
      </c>
      <c r="E433" t="str">
        <f t="shared" si="159"/>
        <v>661711</v>
      </c>
      <c r="F433" t="str">
        <f t="shared" si="160"/>
        <v>01/31/14</v>
      </c>
      <c r="G433" t="str">
        <f>"53442926"</f>
        <v>53442926</v>
      </c>
      <c r="H433" s="4">
        <v>32</v>
      </c>
      <c r="I433" s="3"/>
      <c r="J433" t="str">
        <f t="shared" si="156"/>
        <v>HEWLETT PACKARD COMPANY</v>
      </c>
      <c r="K433" t="str">
        <f t="shared" si="157"/>
        <v>3346403</v>
      </c>
      <c r="L433" s="2" t="str">
        <f>"Part No: AF556A - HP C13 - AS3112-3 AU 250V 10Amp 2.5m Power Cord"</f>
        <v>Part No: AF556A - HP C13 - AS3112-3 AU 250V 10Amp 2.5m Power Cord</v>
      </c>
      <c r="M433" t="str">
        <f t="shared" si="158"/>
        <v>SVALLANT</v>
      </c>
    </row>
    <row r="434" spans="1:13" x14ac:dyDescent="0.25">
      <c r="A434" t="str">
        <f t="shared" si="152"/>
        <v>10</v>
      </c>
      <c r="B434" t="str">
        <f t="shared" si="153"/>
        <v>066</v>
      </c>
      <c r="C434" t="str">
        <f t="shared" si="154"/>
        <v>3010106</v>
      </c>
      <c r="D434" t="str">
        <f t="shared" si="155"/>
        <v>03</v>
      </c>
      <c r="E434" t="str">
        <f t="shared" si="159"/>
        <v>661711</v>
      </c>
      <c r="F434" t="str">
        <f t="shared" si="160"/>
        <v>01/31/14</v>
      </c>
      <c r="G434" t="str">
        <f>"53458964"</f>
        <v>53458964</v>
      </c>
      <c r="H434" s="4">
        <v>1872</v>
      </c>
      <c r="I434" s="3"/>
      <c r="J434" t="str">
        <f t="shared" si="156"/>
        <v>HEWLETT PACKARD COMPANY</v>
      </c>
      <c r="K434" t="str">
        <f t="shared" si="157"/>
        <v>3346403</v>
      </c>
      <c r="L434" s="2" t="str">
        <f>"Part No: AJ763B - HP 82E 8Gb 2-port PCle Fibre Channel Host Bus Adapter"</f>
        <v>Part No: AJ763B - HP 82E 8Gb 2-port PCle Fibre Channel Host Bus Adapter</v>
      </c>
      <c r="M434" t="str">
        <f t="shared" si="158"/>
        <v>SVALLANT</v>
      </c>
    </row>
    <row r="435" spans="1:13" x14ac:dyDescent="0.25">
      <c r="A435" t="str">
        <f t="shared" si="152"/>
        <v>10</v>
      </c>
      <c r="B435" t="str">
        <f t="shared" si="153"/>
        <v>066</v>
      </c>
      <c r="C435" t="str">
        <f t="shared" si="154"/>
        <v>3010106</v>
      </c>
      <c r="D435" t="str">
        <f t="shared" si="155"/>
        <v>03</v>
      </c>
      <c r="E435" t="str">
        <f t="shared" si="159"/>
        <v>661711</v>
      </c>
      <c r="F435" t="str">
        <f t="shared" si="160"/>
        <v>01/31/14</v>
      </c>
      <c r="G435" t="str">
        <f>"53458964"</f>
        <v>53458964</v>
      </c>
      <c r="H435" s="4">
        <v>8856</v>
      </c>
      <c r="I435" s="3"/>
      <c r="J435" t="str">
        <f t="shared" si="156"/>
        <v>HEWLETT PACKARD COMPANY</v>
      </c>
      <c r="K435" t="str">
        <f t="shared" si="157"/>
        <v>3346403</v>
      </c>
      <c r="L435" s="2" t="str">
        <f>"Part No: C8R15SB - HP MSA 2040 SAN Dual Controller SFF Storage/S-Buy-C8R15SB"</f>
        <v>Part No: C8R15SB - HP MSA 2040 SAN Dual Controller SFF Storage/S-Buy-C8R15SB</v>
      </c>
      <c r="M435" t="str">
        <f t="shared" si="158"/>
        <v>SVALLANT</v>
      </c>
    </row>
    <row r="436" spans="1:13" x14ac:dyDescent="0.25">
      <c r="A436" t="str">
        <f t="shared" si="152"/>
        <v>10</v>
      </c>
      <c r="B436" t="str">
        <f t="shared" si="153"/>
        <v>066</v>
      </c>
      <c r="C436" t="str">
        <f t="shared" si="154"/>
        <v>3010106</v>
      </c>
      <c r="D436" t="str">
        <f t="shared" si="155"/>
        <v>03</v>
      </c>
      <c r="E436" t="str">
        <f t="shared" si="159"/>
        <v>661711</v>
      </c>
      <c r="F436" t="str">
        <f>"11/30/13"</f>
        <v>11/30/13</v>
      </c>
      <c r="G436" t="str">
        <f>"53454611"</f>
        <v>53454611</v>
      </c>
      <c r="H436" s="4">
        <v>144.54</v>
      </c>
      <c r="I436" s="3"/>
      <c r="J436" t="str">
        <f t="shared" si="156"/>
        <v>HEWLETT PACKARD COMPANY</v>
      </c>
      <c r="K436" t="str">
        <f t="shared" si="157"/>
        <v>3346403</v>
      </c>
      <c r="L436" s="2" t="str">
        <f>"Part No: 652238-B21 - HP 9.5mm SATA DVD-ROM JackBlack Optical Drive"</f>
        <v>Part No: 652238-B21 - HP 9.5mm SATA DVD-ROM JackBlack Optical Drive</v>
      </c>
      <c r="M436" t="str">
        <f t="shared" si="158"/>
        <v>SVALLANT</v>
      </c>
    </row>
    <row r="437" spans="1:13" x14ac:dyDescent="0.25">
      <c r="A437" t="str">
        <f t="shared" si="152"/>
        <v>10</v>
      </c>
      <c r="B437" t="str">
        <f t="shared" si="153"/>
        <v>066</v>
      </c>
      <c r="C437" t="str">
        <f t="shared" si="154"/>
        <v>3010106</v>
      </c>
      <c r="D437" t="str">
        <f t="shared" si="155"/>
        <v>03</v>
      </c>
      <c r="E437" t="str">
        <f t="shared" si="159"/>
        <v>661711</v>
      </c>
      <c r="F437" t="str">
        <f>"11/30/13"</f>
        <v>11/30/13</v>
      </c>
      <c r="G437" t="str">
        <f>"53465936"</f>
        <v>53465936</v>
      </c>
      <c r="H437" s="4">
        <v>12298</v>
      </c>
      <c r="I437" s="3"/>
      <c r="J437" t="str">
        <f t="shared" si="156"/>
        <v>HEWLETT PACKARD COMPANY</v>
      </c>
      <c r="K437" t="str">
        <f t="shared" si="157"/>
        <v>3346403</v>
      </c>
      <c r="L437" s="2" t="str">
        <f>"Part No: 742817-S01 - HP ProLiant DL360p Gen8 Server - Smart Buy"</f>
        <v>Part No: 742817-S01 - HP ProLiant DL360p Gen8 Server - Smart Buy</v>
      </c>
      <c r="M437" t="str">
        <f t="shared" si="158"/>
        <v>SVALLANT</v>
      </c>
    </row>
    <row r="438" spans="1:13" ht="30" x14ac:dyDescent="0.25">
      <c r="A438" t="str">
        <f t="shared" si="152"/>
        <v>10</v>
      </c>
      <c r="B438" t="str">
        <f t="shared" si="153"/>
        <v>066</v>
      </c>
      <c r="C438" t="str">
        <f t="shared" si="154"/>
        <v>3010106</v>
      </c>
      <c r="D438" t="str">
        <f t="shared" si="155"/>
        <v>03</v>
      </c>
      <c r="E438" t="str">
        <f t="shared" si="159"/>
        <v>661711</v>
      </c>
      <c r="F438" t="str">
        <f>"12/31/13"</f>
        <v>12/31/13</v>
      </c>
      <c r="G438" t="str">
        <f>"53442441"</f>
        <v>53442441</v>
      </c>
      <c r="H438" s="4">
        <v>919.8</v>
      </c>
      <c r="I438" s="3"/>
      <c r="J438" t="str">
        <f t="shared" si="156"/>
        <v>HEWLETT PACKARD COMPANY</v>
      </c>
      <c r="K438" t="str">
        <f t="shared" si="157"/>
        <v>3346403</v>
      </c>
      <c r="L438" s="2" t="str">
        <f>"Part No: 652564-B21 - HP 300GB 6G SAS 10K rpm SFF (2.5-inch) SC Enterprise 3yr Warranty Hard Drive"</f>
        <v>Part No: 652564-B21 - HP 300GB 6G SAS 10K rpm SFF (2.5-inch) SC Enterprise 3yr Warranty Hard Drive</v>
      </c>
      <c r="M438" t="str">
        <f t="shared" si="158"/>
        <v>SVALLANT</v>
      </c>
    </row>
    <row r="439" spans="1:13" x14ac:dyDescent="0.25">
      <c r="A439" t="str">
        <f t="shared" si="152"/>
        <v>10</v>
      </c>
      <c r="B439" t="str">
        <f t="shared" si="153"/>
        <v>066</v>
      </c>
      <c r="C439" t="str">
        <f t="shared" si="154"/>
        <v>3010106</v>
      </c>
      <c r="D439" t="str">
        <f t="shared" si="155"/>
        <v>03</v>
      </c>
      <c r="E439" t="str">
        <f t="shared" si="159"/>
        <v>661711</v>
      </c>
      <c r="F439" t="str">
        <f>"12/31/13"</f>
        <v>12/31/13</v>
      </c>
      <c r="G439" t="str">
        <f>"53442441"</f>
        <v>53442441</v>
      </c>
      <c r="H439" s="4">
        <v>4006.97</v>
      </c>
      <c r="I439" s="3"/>
      <c r="J439" t="str">
        <f t="shared" si="156"/>
        <v>HEWLETT PACKARD COMPANY</v>
      </c>
      <c r="K439" t="str">
        <f t="shared" si="157"/>
        <v>3346403</v>
      </c>
      <c r="L439" s="2" t="str">
        <f>"Part No: BD708AAE - VMware vSphere Essentioals Plus 1yr E-LTU"</f>
        <v>Part No: BD708AAE - VMware vSphere Essentioals Plus 1yr E-LTU</v>
      </c>
      <c r="M439" t="str">
        <f t="shared" si="158"/>
        <v>SVALLANT</v>
      </c>
    </row>
    <row r="440" spans="1:13" ht="30" x14ac:dyDescent="0.25">
      <c r="A440" t="str">
        <f t="shared" si="152"/>
        <v>10</v>
      </c>
      <c r="B440" t="str">
        <f t="shared" si="153"/>
        <v>066</v>
      </c>
      <c r="C440" t="str">
        <f t="shared" si="154"/>
        <v>3010106</v>
      </c>
      <c r="D440" t="str">
        <f t="shared" si="155"/>
        <v>03</v>
      </c>
      <c r="E440" t="str">
        <f t="shared" si="159"/>
        <v>661711</v>
      </c>
      <c r="F440" t="str">
        <f>"12/31/13"</f>
        <v>12/31/13</v>
      </c>
      <c r="G440" t="str">
        <f>"53442441"</f>
        <v>53442441</v>
      </c>
      <c r="H440" s="3">
        <v>2044</v>
      </c>
      <c r="I440" s="3"/>
      <c r="J440" t="str">
        <f t="shared" si="156"/>
        <v>HEWLETT PACKARD COMPANY</v>
      </c>
      <c r="K440" t="str">
        <f t="shared" si="157"/>
        <v>3346403</v>
      </c>
      <c r="L440" s="2" t="str">
        <f>"Part No: 647899-B21 - HP 8GB (1x8GB) Single Rank x4 PC3-12800 (DDR3-1600) Reg CAS-11 Memory Kit"</f>
        <v>Part No: 647899-B21 - HP 8GB (1x8GB) Single Rank x4 PC3-12800 (DDR3-1600) Reg CAS-11 Memory Kit</v>
      </c>
      <c r="M440" t="str">
        <f t="shared" si="158"/>
        <v>SVALLANT</v>
      </c>
    </row>
    <row r="441" spans="1:13" x14ac:dyDescent="0.25">
      <c r="H441" s="6">
        <f>SUM(H428:H440)</f>
        <v>38871.710000000006</v>
      </c>
      <c r="I441" s="6">
        <f>SUM(H428:H440)</f>
        <v>38871.710000000006</v>
      </c>
      <c r="L441" s="2"/>
      <c r="M441" t="str">
        <f t="shared" si="158"/>
        <v>SVALLANT</v>
      </c>
    </row>
    <row r="442" spans="1:13" x14ac:dyDescent="0.25">
      <c r="H442" s="3"/>
      <c r="I442" s="3"/>
      <c r="L442" s="2"/>
    </row>
    <row r="443" spans="1:13" x14ac:dyDescent="0.25">
      <c r="A443" t="str">
        <f>"10"</f>
        <v>10</v>
      </c>
      <c r="B443" t="str">
        <f>"066"</f>
        <v>066</v>
      </c>
      <c r="C443" t="str">
        <f>"3010106"</f>
        <v>3010106</v>
      </c>
      <c r="D443" t="str">
        <f>"03"</f>
        <v>03</v>
      </c>
      <c r="E443" t="str">
        <f>"661701"</f>
        <v>661701</v>
      </c>
      <c r="F443" t="str">
        <f>"06/30/16"</f>
        <v>06/30/16</v>
      </c>
      <c r="G443" t="str">
        <f>"57368950"</f>
        <v>57368950</v>
      </c>
      <c r="H443" s="3">
        <v>5259.5</v>
      </c>
      <c r="I443" s="3"/>
      <c r="J443" t="str">
        <f>"HP INC"</f>
        <v>HP INC</v>
      </c>
      <c r="K443" t="str">
        <f>"3469764"</f>
        <v>3469764</v>
      </c>
      <c r="L443" s="2" t="str">
        <f>"Configurable- HP Probook 450 G3 Notebook PC with Intel I3-6100U V6D98AV"</f>
        <v>Configurable- HP Probook 450 G3 Notebook PC with Intel I3-6100U V6D98AV</v>
      </c>
    </row>
    <row r="444" spans="1:13" ht="30" x14ac:dyDescent="0.25">
      <c r="A444" t="str">
        <f>"10"</f>
        <v>10</v>
      </c>
      <c r="B444" t="str">
        <f>"066"</f>
        <v>066</v>
      </c>
      <c r="C444" t="str">
        <f>"3010106"</f>
        <v>3010106</v>
      </c>
      <c r="D444" t="str">
        <f>"03"</f>
        <v>03</v>
      </c>
      <c r="E444" t="str">
        <f>"661701"</f>
        <v>661701</v>
      </c>
      <c r="F444" t="str">
        <f>"10/31/16"</f>
        <v>10/31/16</v>
      </c>
      <c r="G444" t="str">
        <f>"57737993"</f>
        <v>57737993</v>
      </c>
      <c r="H444" s="3">
        <v>3681.65</v>
      </c>
      <c r="I444" s="3"/>
      <c r="J444" t="str">
        <f>"HP INC"</f>
        <v>HP INC</v>
      </c>
      <c r="K444" t="str">
        <f>"3486672"</f>
        <v>3486672</v>
      </c>
      <c r="L444" s="2" t="str">
        <f>"Configurable- HP Probook 450 G3 Notebook PC with Intel I3-6100U V6D98AV - PER QUOTE 11283646"</f>
        <v>Configurable- HP Probook 450 G3 Notebook PC with Intel I3-6100U V6D98AV - PER QUOTE 11283646</v>
      </c>
      <c r="M444" t="str">
        <f>"SVALLANT"</f>
        <v>SVALLANT</v>
      </c>
    </row>
    <row r="445" spans="1:13" x14ac:dyDescent="0.25">
      <c r="H445" s="6">
        <f>SUM(H443:H444)</f>
        <v>8941.15</v>
      </c>
      <c r="I445" s="6">
        <f>SUM(H443:H444)</f>
        <v>8941.15</v>
      </c>
      <c r="L445" s="2"/>
      <c r="M445" t="str">
        <f>"SVALLANT"</f>
        <v>SVALLANT</v>
      </c>
    </row>
    <row r="446" spans="1:13" x14ac:dyDescent="0.25">
      <c r="H446" s="3"/>
      <c r="I446" s="3"/>
      <c r="L446" s="2"/>
    </row>
    <row r="447" spans="1:13" ht="30" x14ac:dyDescent="0.25">
      <c r="A447" t="str">
        <f>"10"</f>
        <v>10</v>
      </c>
      <c r="B447" t="str">
        <f>"066"</f>
        <v>066</v>
      </c>
      <c r="C447" t="str">
        <f>"3010106"</f>
        <v>3010106</v>
      </c>
      <c r="D447" t="str">
        <f>"03"</f>
        <v>03</v>
      </c>
      <c r="E447" t="str">
        <f>"661701"</f>
        <v>661701</v>
      </c>
      <c r="F447" t="str">
        <f>"05/31/17"</f>
        <v>05/31/17</v>
      </c>
      <c r="G447" t="str">
        <f>"14234"</f>
        <v>14234</v>
      </c>
      <c r="H447" s="6">
        <v>79200</v>
      </c>
      <c r="I447" s="6">
        <f>SUM(H447)</f>
        <v>79200</v>
      </c>
      <c r="J447" t="str">
        <f>"HYPERTEC USA INC"</f>
        <v>HYPERTEC USA INC</v>
      </c>
      <c r="K447" t="str">
        <f>"3511829"</f>
        <v>3511829</v>
      </c>
      <c r="L447" s="2" t="str">
        <f>"APA-17093  FY17  Microsoft Surface Pro 4 with 256GB SSD/ Intel i5/8GB, QTY 80 NTE - $79,200.00"</f>
        <v>APA-17093  FY17  Microsoft Surface Pro 4 with 256GB SSD/ Intel i5/8GB, QTY 80 NTE - $79,200.00</v>
      </c>
    </row>
    <row r="448" spans="1:13" x14ac:dyDescent="0.25">
      <c r="H448" s="3"/>
      <c r="I448" s="3"/>
      <c r="L448" s="2"/>
      <c r="M448" t="str">
        <f>"SVALLANT"</f>
        <v>SVALLANT</v>
      </c>
    </row>
    <row r="449" spans="1:13" x14ac:dyDescent="0.25">
      <c r="A449" t="str">
        <f>"10"</f>
        <v>10</v>
      </c>
      <c r="B449" t="str">
        <f>"066"</f>
        <v>066</v>
      </c>
      <c r="C449" t="str">
        <f>"3010106"</f>
        <v>3010106</v>
      </c>
      <c r="D449" t="str">
        <f>"03"</f>
        <v>03</v>
      </c>
      <c r="E449" t="str">
        <f>"640100"</f>
        <v>640100</v>
      </c>
      <c r="F449" t="str">
        <f>"01/31/15"</f>
        <v>01/31/15</v>
      </c>
      <c r="G449" t="str">
        <f>"10570"</f>
        <v>10570</v>
      </c>
      <c r="H449" s="3">
        <v>1756</v>
      </c>
      <c r="I449" s="3"/>
      <c r="J449" t="str">
        <f>"J &amp; S OFFICE INSTALLERS AND MOVERS INC"</f>
        <v>J &amp; S OFFICE INSTALLERS AND MOVERS INC</v>
      </c>
      <c r="K449" t="str">
        <f>"3404681"</f>
        <v>3404681</v>
      </c>
      <c r="L449" s="2" t="str">
        <f>"cubicle and furniture"</f>
        <v>cubicle and furniture</v>
      </c>
    </row>
    <row r="450" spans="1:13" x14ac:dyDescent="0.25">
      <c r="A450" t="str">
        <f>"10"</f>
        <v>10</v>
      </c>
      <c r="B450" t="str">
        <f>"066"</f>
        <v>066</v>
      </c>
      <c r="C450" t="str">
        <f>"3010106"</f>
        <v>3010106</v>
      </c>
      <c r="D450" t="str">
        <f>"03"</f>
        <v>03</v>
      </c>
      <c r="E450" t="str">
        <f>"640100"</f>
        <v>640100</v>
      </c>
      <c r="F450" t="str">
        <f>"04/30/15"</f>
        <v>04/30/15</v>
      </c>
      <c r="G450" t="str">
        <f>"10830"</f>
        <v>10830</v>
      </c>
      <c r="H450" s="3">
        <v>960</v>
      </c>
      <c r="I450" s="3"/>
      <c r="J450" t="str">
        <f>"J &amp; S OFFICE INSTALLERS AND MOVERS INC"</f>
        <v>J &amp; S OFFICE INSTALLERS AND MOVERS INC</v>
      </c>
      <c r="K450" t="str">
        <f>"3415406"</f>
        <v>3415406</v>
      </c>
      <c r="L450" s="2" t="str">
        <f>"furniture moving, licht cubicles"</f>
        <v>furniture moving, licht cubicles</v>
      </c>
      <c r="M450" t="str">
        <f>"SVALLANT"</f>
        <v>SVALLANT</v>
      </c>
    </row>
    <row r="451" spans="1:13" x14ac:dyDescent="0.25">
      <c r="H451" s="6">
        <f>SUM(H449:H450)</f>
        <v>2716</v>
      </c>
      <c r="I451" s="6">
        <f>SUM(H449:H450)</f>
        <v>2716</v>
      </c>
      <c r="L451" s="2"/>
      <c r="M451" t="str">
        <f>"SVALLANT"</f>
        <v>SVALLANT</v>
      </c>
    </row>
    <row r="452" spans="1:13" x14ac:dyDescent="0.25">
      <c r="H452" s="3"/>
      <c r="I452" s="3"/>
      <c r="L452" s="2"/>
    </row>
    <row r="453" spans="1:13" x14ac:dyDescent="0.25">
      <c r="A453" t="str">
        <f>"10"</f>
        <v>10</v>
      </c>
      <c r="B453" t="str">
        <f>"066"</f>
        <v>066</v>
      </c>
      <c r="C453" t="str">
        <f>"3010106"</f>
        <v>3010106</v>
      </c>
      <c r="D453" t="str">
        <f>"03"</f>
        <v>03</v>
      </c>
      <c r="E453" t="str">
        <f>"640100"</f>
        <v>640100</v>
      </c>
      <c r="F453" t="str">
        <f>"02/29/16"</f>
        <v>02/29/16</v>
      </c>
      <c r="G453" t="str">
        <f>"3191"</f>
        <v>3191</v>
      </c>
      <c r="H453" s="3">
        <v>250</v>
      </c>
      <c r="I453" s="3"/>
      <c r="J453" t="str">
        <f>"KENNETH A BOTELHO"</f>
        <v>KENNETH A BOTELHO</v>
      </c>
      <c r="K453" t="str">
        <f>"3454385"</f>
        <v>3454385</v>
      </c>
      <c r="L453" s="2" t="str">
        <f>"rooter service @ 180"</f>
        <v>rooter service @ 180</v>
      </c>
    </row>
    <row r="454" spans="1:13" x14ac:dyDescent="0.25">
      <c r="A454" t="str">
        <f>"10"</f>
        <v>10</v>
      </c>
      <c r="B454" t="str">
        <f>"066"</f>
        <v>066</v>
      </c>
      <c r="C454" t="str">
        <f>"3010106"</f>
        <v>3010106</v>
      </c>
      <c r="D454" t="str">
        <f>"03"</f>
        <v>03</v>
      </c>
      <c r="E454" t="str">
        <f>"643180"</f>
        <v>643180</v>
      </c>
      <c r="F454" t="str">
        <f>"04/30/14"</f>
        <v>04/30/14</v>
      </c>
      <c r="G454" t="str">
        <f>"1466SXA0318"</f>
        <v>1466SXA0318</v>
      </c>
      <c r="H454" s="3">
        <v>400</v>
      </c>
      <c r="I454" s="3"/>
      <c r="J454" t="str">
        <f>"KENNETH A BOTELHO"</f>
        <v>KENNETH A BOTELHO</v>
      </c>
      <c r="K454" t="str">
        <f>"3370185"</f>
        <v>3370185</v>
      </c>
      <c r="L454" s="2" t="str">
        <f>"camera 4 conduit's that go from 180 to 150"</f>
        <v>camera 4 conduit's that go from 180 to 150</v>
      </c>
      <c r="M454" t="str">
        <f>"SVALLANT"</f>
        <v>SVALLANT</v>
      </c>
    </row>
    <row r="455" spans="1:13" x14ac:dyDescent="0.25">
      <c r="H455" s="6">
        <f>SUM(H453:H454)</f>
        <v>650</v>
      </c>
      <c r="I455" s="6">
        <f>SUM(H453:H454)</f>
        <v>650</v>
      </c>
      <c r="L455" s="2"/>
      <c r="M455" t="str">
        <f>"SVALLANT"</f>
        <v>SVALLANT</v>
      </c>
    </row>
    <row r="456" spans="1:13" x14ac:dyDescent="0.25">
      <c r="H456" s="3"/>
      <c r="I456" s="3"/>
      <c r="L456" s="2"/>
    </row>
    <row r="457" spans="1:13" x14ac:dyDescent="0.25">
      <c r="A457" t="str">
        <f t="shared" ref="A457:A520" si="161">"10"</f>
        <v>10</v>
      </c>
      <c r="B457" t="str">
        <f t="shared" ref="B457:B520" si="162">"066"</f>
        <v>066</v>
      </c>
      <c r="C457" t="str">
        <f t="shared" ref="C457:C520" si="163">"3010106"</f>
        <v>3010106</v>
      </c>
      <c r="D457" t="str">
        <f t="shared" ref="D457:D520" si="164">"03"</f>
        <v>03</v>
      </c>
      <c r="E457" t="str">
        <f t="shared" ref="E457:E508" si="165">"632150"</f>
        <v>632150</v>
      </c>
      <c r="F457" t="str">
        <f>"01/31/16"</f>
        <v>01/31/16</v>
      </c>
      <c r="G457" t="str">
        <f>"12824"</f>
        <v>12824</v>
      </c>
      <c r="H457" s="3">
        <v>48000</v>
      </c>
      <c r="I457" s="3"/>
      <c r="J457" t="str">
        <f t="shared" ref="J457:J520" si="166">"KYRAN RESEARCH ASSOCIATES INC"</f>
        <v>KYRAN RESEARCH ASSOCIATES INC</v>
      </c>
      <c r="K457" t="str">
        <f>"3420808"</f>
        <v>3420808</v>
      </c>
      <c r="L457" s="2" t="str">
        <f>"APA-15199 5/14/15-1/30/17 IMPLEMENTATION - MILESTONES 1-22 - $849,600.00"</f>
        <v>APA-15199 5/14/15-1/30/17 IMPLEMENTATION - MILESTONES 1-22 - $849,600.00</v>
      </c>
    </row>
    <row r="458" spans="1:13" x14ac:dyDescent="0.25">
      <c r="A458" t="str">
        <f t="shared" si="161"/>
        <v>10</v>
      </c>
      <c r="B458" t="str">
        <f t="shared" si="162"/>
        <v>066</v>
      </c>
      <c r="C458" t="str">
        <f t="shared" si="163"/>
        <v>3010106</v>
      </c>
      <c r="D458" t="str">
        <f t="shared" si="164"/>
        <v>03</v>
      </c>
      <c r="E458" t="str">
        <f t="shared" si="165"/>
        <v>632150</v>
      </c>
      <c r="F458" t="str">
        <f>"02/29/16"</f>
        <v>02/29/16</v>
      </c>
      <c r="G458" t="str">
        <f>"12836"</f>
        <v>12836</v>
      </c>
      <c r="H458" s="3">
        <v>48000</v>
      </c>
      <c r="I458" s="3"/>
      <c r="J458" t="str">
        <f t="shared" si="166"/>
        <v>KYRAN RESEARCH ASSOCIATES INC</v>
      </c>
      <c r="K458" t="str">
        <f>"3420808"</f>
        <v>3420808</v>
      </c>
      <c r="L458" s="2" t="str">
        <f>"APA-15199 5/14/15-1/30/17 IMPLEMENTATION - MILESTONES 1-22 - $849,600.00"</f>
        <v>APA-15199 5/14/15-1/30/17 IMPLEMENTATION - MILESTONES 1-22 - $849,600.00</v>
      </c>
      <c r="M458" t="str">
        <f>"BOBW@KYR"</f>
        <v>BOBW@KYR</v>
      </c>
    </row>
    <row r="459" spans="1:13" x14ac:dyDescent="0.25">
      <c r="A459" t="str">
        <f t="shared" si="161"/>
        <v>10</v>
      </c>
      <c r="B459" t="str">
        <f t="shared" si="162"/>
        <v>066</v>
      </c>
      <c r="C459" t="str">
        <f t="shared" si="163"/>
        <v>3010106</v>
      </c>
      <c r="D459" t="str">
        <f t="shared" si="164"/>
        <v>03</v>
      </c>
      <c r="E459" t="str">
        <f t="shared" si="165"/>
        <v>632150</v>
      </c>
      <c r="F459" t="str">
        <f>"03/31/16"</f>
        <v>03/31/16</v>
      </c>
      <c r="G459" t="str">
        <f>"12845"</f>
        <v>12845</v>
      </c>
      <c r="H459" s="4">
        <v>48000</v>
      </c>
      <c r="I459" s="3"/>
      <c r="J459" t="str">
        <f t="shared" si="166"/>
        <v>KYRAN RESEARCH ASSOCIATES INC</v>
      </c>
      <c r="K459" t="str">
        <f>"3420808"</f>
        <v>3420808</v>
      </c>
      <c r="L459" s="2" t="str">
        <f>"APA-15199 5/14/15-1/30/17 IMPLEMENTATION - MILESTONES 1-22 - $849,600.00"</f>
        <v>APA-15199 5/14/15-1/30/17 IMPLEMENTATION - MILESTONES 1-22 - $849,600.00</v>
      </c>
      <c r="M459" t="str">
        <f>"BOBW@KYR"</f>
        <v>BOBW@KYR</v>
      </c>
    </row>
    <row r="460" spans="1:13" ht="30" x14ac:dyDescent="0.25">
      <c r="A460" t="str">
        <f t="shared" si="161"/>
        <v>10</v>
      </c>
      <c r="B460" t="str">
        <f t="shared" si="162"/>
        <v>066</v>
      </c>
      <c r="C460" t="str">
        <f t="shared" si="163"/>
        <v>3010106</v>
      </c>
      <c r="D460" t="str">
        <f t="shared" si="164"/>
        <v>03</v>
      </c>
      <c r="E460" t="str">
        <f t="shared" si="165"/>
        <v>632150</v>
      </c>
      <c r="F460" t="str">
        <f>"03/31/17"</f>
        <v>03/31/17</v>
      </c>
      <c r="G460" t="str">
        <f>"12970"</f>
        <v>12970</v>
      </c>
      <c r="H460" s="4">
        <v>14950</v>
      </c>
      <c r="I460" s="3"/>
      <c r="J460" t="str">
        <f t="shared" si="166"/>
        <v>KYRAN RESEARCH ASSOCIATES INC</v>
      </c>
      <c r="K460" t="str">
        <f>"3420808"</f>
        <v>3420808</v>
      </c>
      <c r="L460" s="2" t="str">
        <f>"APA-15199 3/15/17-12/31/22 - ADDITIONAL TRAINING, REPORTING AND DATA UPDATES - $14,950.00"</f>
        <v>APA-15199 3/15/17-12/31/22 - ADDITIONAL TRAINING, REPORTING AND DATA UPDATES - $14,950.00</v>
      </c>
      <c r="M460" t="str">
        <f>"BOBW@KYR"</f>
        <v>BOBW@KYR</v>
      </c>
    </row>
    <row r="461" spans="1:13" x14ac:dyDescent="0.25">
      <c r="A461" t="str">
        <f t="shared" si="161"/>
        <v>10</v>
      </c>
      <c r="B461" t="str">
        <f t="shared" si="162"/>
        <v>066</v>
      </c>
      <c r="C461" t="str">
        <f t="shared" si="163"/>
        <v>3010106</v>
      </c>
      <c r="D461" t="str">
        <f t="shared" si="164"/>
        <v>03</v>
      </c>
      <c r="E461" t="str">
        <f t="shared" si="165"/>
        <v>632150</v>
      </c>
      <c r="F461" t="str">
        <f>"04/30/16"</f>
        <v>04/30/16</v>
      </c>
      <c r="G461" t="str">
        <f>"12858"</f>
        <v>12858</v>
      </c>
      <c r="H461" s="4">
        <v>48000</v>
      </c>
      <c r="I461" s="3"/>
      <c r="J461" t="str">
        <f t="shared" si="166"/>
        <v>KYRAN RESEARCH ASSOCIATES INC</v>
      </c>
      <c r="K461" t="str">
        <f t="shared" ref="K461:K477" si="167">"3420808"</f>
        <v>3420808</v>
      </c>
      <c r="L461" s="2" t="str">
        <f>"APA-15199 5/14/15-1/30/17 IMPLEMENTATION - MILESTONES 1-22 - $849,600.00"</f>
        <v>APA-15199 5/14/15-1/30/17 IMPLEMENTATION - MILESTONES 1-22 - $849,600.00</v>
      </c>
      <c r="M461" t="str">
        <f t="shared" ref="M461:M502" si="168">"SVALLANT"</f>
        <v>SVALLANT</v>
      </c>
    </row>
    <row r="462" spans="1:13" x14ac:dyDescent="0.25">
      <c r="A462" t="str">
        <f t="shared" si="161"/>
        <v>10</v>
      </c>
      <c r="B462" t="str">
        <f t="shared" si="162"/>
        <v>066</v>
      </c>
      <c r="C462" t="str">
        <f t="shared" si="163"/>
        <v>3010106</v>
      </c>
      <c r="D462" t="str">
        <f t="shared" si="164"/>
        <v>03</v>
      </c>
      <c r="E462" t="str">
        <f t="shared" si="165"/>
        <v>632150</v>
      </c>
      <c r="F462" t="str">
        <f>"05/31/16"</f>
        <v>05/31/16</v>
      </c>
      <c r="G462" t="str">
        <f>"12865"</f>
        <v>12865</v>
      </c>
      <c r="H462" s="4">
        <v>48000</v>
      </c>
      <c r="I462" s="3"/>
      <c r="J462" t="str">
        <f t="shared" si="166"/>
        <v>KYRAN RESEARCH ASSOCIATES INC</v>
      </c>
      <c r="K462" t="str">
        <f t="shared" si="167"/>
        <v>3420808</v>
      </c>
      <c r="L462" s="2" t="str">
        <f>"APA-15199 5/14/15-1/30/17 IMPLEMENTATION - MILESTONES 1-22 - $849,600.00"</f>
        <v>APA-15199 5/14/15-1/30/17 IMPLEMENTATION - MILESTONES 1-22 - $849,600.00</v>
      </c>
      <c r="M462" t="str">
        <f>"BOBW@KYR"</f>
        <v>BOBW@KYR</v>
      </c>
    </row>
    <row r="463" spans="1:13" ht="30" x14ac:dyDescent="0.25">
      <c r="A463" t="str">
        <f t="shared" si="161"/>
        <v>10</v>
      </c>
      <c r="B463" t="str">
        <f t="shared" si="162"/>
        <v>066</v>
      </c>
      <c r="C463" t="str">
        <f t="shared" si="163"/>
        <v>3010106</v>
      </c>
      <c r="D463" t="str">
        <f t="shared" si="164"/>
        <v>03</v>
      </c>
      <c r="E463" t="str">
        <f t="shared" si="165"/>
        <v>632150</v>
      </c>
      <c r="F463" t="str">
        <f>"05/31/17"</f>
        <v>05/31/17</v>
      </c>
      <c r="G463" t="str">
        <f>"12989"</f>
        <v>12989</v>
      </c>
      <c r="H463" s="4">
        <v>50400</v>
      </c>
      <c r="I463" s="3"/>
      <c r="J463" t="str">
        <f t="shared" si="166"/>
        <v>KYRAN RESEARCH ASSOCIATES INC</v>
      </c>
      <c r="K463" t="str">
        <f t="shared" si="167"/>
        <v>3420808</v>
      </c>
      <c r="L463" s="2" t="str">
        <f>"APA-15199 2/1/17-8/1/17 END OF 6-CALENDAR MONTH WARRANTY - MILESTONE 23 - 50,400.00"</f>
        <v>APA-15199 2/1/17-8/1/17 END OF 6-CALENDAR MONTH WARRANTY - MILESTONE 23 - 50,400.00</v>
      </c>
      <c r="M463" t="str">
        <f>"BOBW@KYR"</f>
        <v>BOBW@KYR</v>
      </c>
    </row>
    <row r="464" spans="1:13" x14ac:dyDescent="0.25">
      <c r="A464" t="str">
        <f t="shared" si="161"/>
        <v>10</v>
      </c>
      <c r="B464" t="str">
        <f t="shared" si="162"/>
        <v>066</v>
      </c>
      <c r="C464" t="str">
        <f t="shared" si="163"/>
        <v>3010106</v>
      </c>
      <c r="D464" t="str">
        <f t="shared" si="164"/>
        <v>03</v>
      </c>
      <c r="E464" t="str">
        <f t="shared" si="165"/>
        <v>632150</v>
      </c>
      <c r="F464" t="str">
        <f>"06/30/15"</f>
        <v>06/30/15</v>
      </c>
      <c r="G464" t="str">
        <f>"12762"</f>
        <v>12762</v>
      </c>
      <c r="H464" s="4">
        <v>69600</v>
      </c>
      <c r="I464" s="3"/>
      <c r="J464" t="str">
        <f t="shared" si="166"/>
        <v>KYRAN RESEARCH ASSOCIATES INC</v>
      </c>
      <c r="K464" t="str">
        <f t="shared" si="167"/>
        <v>3420808</v>
      </c>
      <c r="L464" s="2" t="str">
        <f>"APA-15199 5/14/15-1/30/17 IMPLEMENTATION - MILESTONES 1-22 - $849,600.00"</f>
        <v>APA-15199 5/14/15-1/30/17 IMPLEMENTATION - MILESTONES 1-22 - $849,600.00</v>
      </c>
      <c r="M464" t="str">
        <f>"BOBW@KYR"</f>
        <v>BOBW@KYR</v>
      </c>
    </row>
    <row r="465" spans="1:13" x14ac:dyDescent="0.25">
      <c r="A465" t="str">
        <f t="shared" si="161"/>
        <v>10</v>
      </c>
      <c r="B465" t="str">
        <f t="shared" si="162"/>
        <v>066</v>
      </c>
      <c r="C465" t="str">
        <f t="shared" si="163"/>
        <v>3010106</v>
      </c>
      <c r="D465" t="str">
        <f t="shared" si="164"/>
        <v>03</v>
      </c>
      <c r="E465" t="str">
        <f t="shared" si="165"/>
        <v>632150</v>
      </c>
      <c r="F465" t="str">
        <f>"06/30/16"</f>
        <v>06/30/16</v>
      </c>
      <c r="G465" t="str">
        <f>"12874"</f>
        <v>12874</v>
      </c>
      <c r="H465" s="4">
        <v>48000</v>
      </c>
      <c r="I465" s="3"/>
      <c r="J465" t="str">
        <f t="shared" si="166"/>
        <v>KYRAN RESEARCH ASSOCIATES INC</v>
      </c>
      <c r="K465" t="str">
        <f t="shared" si="167"/>
        <v>3420808</v>
      </c>
      <c r="L465" s="2" t="str">
        <f>"APA-15199 5/14/15-1/30/17 IMPLEMENTATION - MILESTONES 1-22 - $849,600.00"</f>
        <v>APA-15199 5/14/15-1/30/17 IMPLEMENTATION - MILESTONES 1-22 - $849,600.00</v>
      </c>
      <c r="M465" t="str">
        <f>"SVALLANT"</f>
        <v>SVALLANT</v>
      </c>
    </row>
    <row r="466" spans="1:13" x14ac:dyDescent="0.25">
      <c r="A466" t="str">
        <f t="shared" si="161"/>
        <v>10</v>
      </c>
      <c r="B466" t="str">
        <f t="shared" si="162"/>
        <v>066</v>
      </c>
      <c r="C466" t="str">
        <f t="shared" si="163"/>
        <v>3010106</v>
      </c>
      <c r="D466" t="str">
        <f t="shared" si="164"/>
        <v>03</v>
      </c>
      <c r="E466" t="str">
        <f t="shared" si="165"/>
        <v>632150</v>
      </c>
      <c r="F466" t="str">
        <f>"06/30/16"</f>
        <v>06/30/16</v>
      </c>
      <c r="G466" t="str">
        <f>"12887"</f>
        <v>12887</v>
      </c>
      <c r="H466" s="4">
        <v>24000</v>
      </c>
      <c r="I466" s="3"/>
      <c r="J466" t="str">
        <f t="shared" si="166"/>
        <v>KYRAN RESEARCH ASSOCIATES INC</v>
      </c>
      <c r="K466" t="str">
        <f t="shared" si="167"/>
        <v>3420808</v>
      </c>
      <c r="L466" s="2" t="str">
        <f>"APA-15199 5/14/15-1/30/17 IMPLEMENTATION - MILESTONES 1-22 - $849,600.00"</f>
        <v>APA-15199 5/14/15-1/30/17 IMPLEMENTATION - MILESTONES 1-22 - $849,600.00</v>
      </c>
      <c r="M466" t="str">
        <f t="shared" ref="M466:M490" si="169">"BOBW@KYR"</f>
        <v>BOBW@KYR</v>
      </c>
    </row>
    <row r="467" spans="1:13" x14ac:dyDescent="0.25">
      <c r="A467" t="str">
        <f t="shared" si="161"/>
        <v>10</v>
      </c>
      <c r="B467" t="str">
        <f t="shared" si="162"/>
        <v>066</v>
      </c>
      <c r="C467" t="str">
        <f t="shared" si="163"/>
        <v>3010106</v>
      </c>
      <c r="D467" t="str">
        <f t="shared" si="164"/>
        <v>03</v>
      </c>
      <c r="E467" t="str">
        <f t="shared" si="165"/>
        <v>632150</v>
      </c>
      <c r="F467" t="str">
        <f>"06/30/17"</f>
        <v>06/30/17</v>
      </c>
      <c r="G467" t="str">
        <f>"13003"</f>
        <v>13003</v>
      </c>
      <c r="H467" s="4">
        <v>4255</v>
      </c>
      <c r="I467" s="3"/>
      <c r="J467" t="str">
        <f t="shared" si="166"/>
        <v>KYRAN RESEARCH ASSOCIATES INC</v>
      </c>
      <c r="K467" t="str">
        <f t="shared" si="167"/>
        <v>3420808</v>
      </c>
      <c r="L467" s="2" t="str">
        <f>"APA-15199 8/1/17-12/31/22 - 5-YEAR MAINTENANCE - $299,000.00"</f>
        <v>APA-15199 8/1/17-12/31/22 - 5-YEAR MAINTENANCE - $299,000.00</v>
      </c>
      <c r="M467" t="str">
        <f t="shared" si="169"/>
        <v>BOBW@KYR</v>
      </c>
    </row>
    <row r="468" spans="1:13" x14ac:dyDescent="0.25">
      <c r="A468" t="str">
        <f t="shared" si="161"/>
        <v>10</v>
      </c>
      <c r="B468" t="str">
        <f t="shared" si="162"/>
        <v>066</v>
      </c>
      <c r="C468" t="str">
        <f t="shared" si="163"/>
        <v>3010106</v>
      </c>
      <c r="D468" t="str">
        <f t="shared" si="164"/>
        <v>03</v>
      </c>
      <c r="E468" t="str">
        <f t="shared" si="165"/>
        <v>632150</v>
      </c>
      <c r="F468" t="str">
        <f>"07/31/15"</f>
        <v>07/31/15</v>
      </c>
      <c r="G468" t="str">
        <f>"12778"</f>
        <v>12778</v>
      </c>
      <c r="H468" s="4">
        <v>69600</v>
      </c>
      <c r="I468" s="3"/>
      <c r="J468" t="str">
        <f t="shared" si="166"/>
        <v>KYRAN RESEARCH ASSOCIATES INC</v>
      </c>
      <c r="K468" t="str">
        <f t="shared" si="167"/>
        <v>3420808</v>
      </c>
      <c r="L468" s="2" t="str">
        <f t="shared" ref="L468:L477" si="170">"APA-15199 5/14/15-1/30/17 IMPLEMENTATION - MILESTONES 1-22 - $849,600.00"</f>
        <v>APA-15199 5/14/15-1/30/17 IMPLEMENTATION - MILESTONES 1-22 - $849,600.00</v>
      </c>
      <c r="M468" t="str">
        <f t="shared" si="169"/>
        <v>BOBW@KYR</v>
      </c>
    </row>
    <row r="469" spans="1:13" x14ac:dyDescent="0.25">
      <c r="A469" t="str">
        <f t="shared" si="161"/>
        <v>10</v>
      </c>
      <c r="B469" t="str">
        <f t="shared" si="162"/>
        <v>066</v>
      </c>
      <c r="C469" t="str">
        <f t="shared" si="163"/>
        <v>3010106</v>
      </c>
      <c r="D469" t="str">
        <f t="shared" si="164"/>
        <v>03</v>
      </c>
      <c r="E469" t="str">
        <f t="shared" si="165"/>
        <v>632150</v>
      </c>
      <c r="F469" t="str">
        <f>"08/31/16"</f>
        <v>08/31/16</v>
      </c>
      <c r="G469" t="str">
        <f>"12900"</f>
        <v>12900</v>
      </c>
      <c r="H469" s="4">
        <v>24000</v>
      </c>
      <c r="I469" s="3"/>
      <c r="J469" t="str">
        <f t="shared" si="166"/>
        <v>KYRAN RESEARCH ASSOCIATES INC</v>
      </c>
      <c r="K469" t="str">
        <f t="shared" si="167"/>
        <v>3420808</v>
      </c>
      <c r="L469" s="2" t="str">
        <f t="shared" si="170"/>
        <v>APA-15199 5/14/15-1/30/17 IMPLEMENTATION - MILESTONES 1-22 - $849,600.00</v>
      </c>
      <c r="M469" t="str">
        <f t="shared" si="169"/>
        <v>BOBW@KYR</v>
      </c>
    </row>
    <row r="470" spans="1:13" x14ac:dyDescent="0.25">
      <c r="A470" t="str">
        <f t="shared" si="161"/>
        <v>10</v>
      </c>
      <c r="B470" t="str">
        <f t="shared" si="162"/>
        <v>066</v>
      </c>
      <c r="C470" t="str">
        <f t="shared" si="163"/>
        <v>3010106</v>
      </c>
      <c r="D470" t="str">
        <f t="shared" si="164"/>
        <v>03</v>
      </c>
      <c r="E470" t="str">
        <f t="shared" si="165"/>
        <v>632150</v>
      </c>
      <c r="F470" t="str">
        <f>"09/30/15"</f>
        <v>09/30/15</v>
      </c>
      <c r="G470" t="str">
        <f>"12789"</f>
        <v>12789</v>
      </c>
      <c r="H470" s="4">
        <v>69600</v>
      </c>
      <c r="I470" s="3"/>
      <c r="J470" t="str">
        <f t="shared" si="166"/>
        <v>KYRAN RESEARCH ASSOCIATES INC</v>
      </c>
      <c r="K470" t="str">
        <f t="shared" si="167"/>
        <v>3420808</v>
      </c>
      <c r="L470" s="2" t="str">
        <f t="shared" si="170"/>
        <v>APA-15199 5/14/15-1/30/17 IMPLEMENTATION - MILESTONES 1-22 - $849,600.00</v>
      </c>
      <c r="M470" t="str">
        <f t="shared" si="169"/>
        <v>BOBW@KYR</v>
      </c>
    </row>
    <row r="471" spans="1:13" x14ac:dyDescent="0.25">
      <c r="A471" t="str">
        <f t="shared" si="161"/>
        <v>10</v>
      </c>
      <c r="B471" t="str">
        <f t="shared" si="162"/>
        <v>066</v>
      </c>
      <c r="C471" t="str">
        <f t="shared" si="163"/>
        <v>3010106</v>
      </c>
      <c r="D471" t="str">
        <f t="shared" si="164"/>
        <v>03</v>
      </c>
      <c r="E471" t="str">
        <f t="shared" si="165"/>
        <v>632150</v>
      </c>
      <c r="F471" t="str">
        <f>"09/30/16"</f>
        <v>09/30/16</v>
      </c>
      <c r="G471" t="str">
        <f>"12907"</f>
        <v>12907</v>
      </c>
      <c r="H471" s="4">
        <v>24000</v>
      </c>
      <c r="I471" s="3"/>
      <c r="J471" t="str">
        <f t="shared" si="166"/>
        <v>KYRAN RESEARCH ASSOCIATES INC</v>
      </c>
      <c r="K471" t="str">
        <f t="shared" si="167"/>
        <v>3420808</v>
      </c>
      <c r="L471" s="2" t="str">
        <f t="shared" si="170"/>
        <v>APA-15199 5/14/15-1/30/17 IMPLEMENTATION - MILESTONES 1-22 - $849,600.00</v>
      </c>
      <c r="M471" t="str">
        <f t="shared" si="169"/>
        <v>BOBW@KYR</v>
      </c>
    </row>
    <row r="472" spans="1:13" x14ac:dyDescent="0.25">
      <c r="A472" t="str">
        <f t="shared" si="161"/>
        <v>10</v>
      </c>
      <c r="B472" t="str">
        <f t="shared" si="162"/>
        <v>066</v>
      </c>
      <c r="C472" t="str">
        <f t="shared" si="163"/>
        <v>3010106</v>
      </c>
      <c r="D472" t="str">
        <f t="shared" si="164"/>
        <v>03</v>
      </c>
      <c r="E472" t="str">
        <f t="shared" si="165"/>
        <v>632150</v>
      </c>
      <c r="F472" t="str">
        <f>"10/31/15"</f>
        <v>10/31/15</v>
      </c>
      <c r="G472" t="str">
        <f>"12800"</f>
        <v>12800</v>
      </c>
      <c r="H472" s="4">
        <v>69600</v>
      </c>
      <c r="I472" s="3"/>
      <c r="J472" t="str">
        <f t="shared" si="166"/>
        <v>KYRAN RESEARCH ASSOCIATES INC</v>
      </c>
      <c r="K472" t="str">
        <f t="shared" si="167"/>
        <v>3420808</v>
      </c>
      <c r="L472" s="2" t="str">
        <f t="shared" si="170"/>
        <v>APA-15199 5/14/15-1/30/17 IMPLEMENTATION - MILESTONES 1-22 - $849,600.00</v>
      </c>
      <c r="M472" t="str">
        <f t="shared" ref="M472:M495" si="171">"SVALLANT"</f>
        <v>SVALLANT</v>
      </c>
    </row>
    <row r="473" spans="1:13" x14ac:dyDescent="0.25">
      <c r="A473" t="str">
        <f t="shared" si="161"/>
        <v>10</v>
      </c>
      <c r="B473" t="str">
        <f t="shared" si="162"/>
        <v>066</v>
      </c>
      <c r="C473" t="str">
        <f t="shared" si="163"/>
        <v>3010106</v>
      </c>
      <c r="D473" t="str">
        <f t="shared" si="164"/>
        <v>03</v>
      </c>
      <c r="E473" t="str">
        <f t="shared" si="165"/>
        <v>632150</v>
      </c>
      <c r="F473" t="str">
        <f>"10/31/16"</f>
        <v>10/31/16</v>
      </c>
      <c r="G473" t="str">
        <f>"12917"</f>
        <v>12917</v>
      </c>
      <c r="H473" s="4">
        <v>24000</v>
      </c>
      <c r="I473" s="3"/>
      <c r="J473" t="str">
        <f t="shared" si="166"/>
        <v>KYRAN RESEARCH ASSOCIATES INC</v>
      </c>
      <c r="K473" t="str">
        <f t="shared" si="167"/>
        <v>3420808</v>
      </c>
      <c r="L473" s="2" t="str">
        <f t="shared" si="170"/>
        <v>APA-15199 5/14/15-1/30/17 IMPLEMENTATION - MILESTONES 1-22 - $849,600.00</v>
      </c>
      <c r="M473" t="str">
        <f>"BOBW@KYR"</f>
        <v>BOBW@KYR</v>
      </c>
    </row>
    <row r="474" spans="1:13" x14ac:dyDescent="0.25">
      <c r="A474" t="str">
        <f t="shared" si="161"/>
        <v>10</v>
      </c>
      <c r="B474" t="str">
        <f t="shared" si="162"/>
        <v>066</v>
      </c>
      <c r="C474" t="str">
        <f t="shared" si="163"/>
        <v>3010106</v>
      </c>
      <c r="D474" t="str">
        <f t="shared" si="164"/>
        <v>03</v>
      </c>
      <c r="E474" t="str">
        <f t="shared" si="165"/>
        <v>632150</v>
      </c>
      <c r="F474" t="str">
        <f>"11/30/15"</f>
        <v>11/30/15</v>
      </c>
      <c r="G474" t="str">
        <f>"12808"</f>
        <v>12808</v>
      </c>
      <c r="H474" s="4">
        <v>69600</v>
      </c>
      <c r="I474" s="3"/>
      <c r="J474" t="str">
        <f t="shared" si="166"/>
        <v>KYRAN RESEARCH ASSOCIATES INC</v>
      </c>
      <c r="K474" t="str">
        <f t="shared" si="167"/>
        <v>3420808</v>
      </c>
      <c r="L474" s="2" t="str">
        <f t="shared" si="170"/>
        <v>APA-15199 5/14/15-1/30/17 IMPLEMENTATION - MILESTONES 1-22 - $849,600.00</v>
      </c>
      <c r="M474" t="str">
        <f t="shared" ref="M474:M489" si="172">"SVALLANT"</f>
        <v>SVALLANT</v>
      </c>
    </row>
    <row r="475" spans="1:13" x14ac:dyDescent="0.25">
      <c r="A475" t="str">
        <f t="shared" si="161"/>
        <v>10</v>
      </c>
      <c r="B475" t="str">
        <f t="shared" si="162"/>
        <v>066</v>
      </c>
      <c r="C475" t="str">
        <f t="shared" si="163"/>
        <v>3010106</v>
      </c>
      <c r="D475" t="str">
        <f t="shared" si="164"/>
        <v>03</v>
      </c>
      <c r="E475" t="str">
        <f t="shared" si="165"/>
        <v>632150</v>
      </c>
      <c r="F475" t="str">
        <f>"11/30/16"</f>
        <v>11/30/16</v>
      </c>
      <c r="G475" t="str">
        <f>"12929"</f>
        <v>12929</v>
      </c>
      <c r="H475" s="4">
        <v>24000</v>
      </c>
      <c r="I475" s="3"/>
      <c r="J475" t="str">
        <f t="shared" si="166"/>
        <v>KYRAN RESEARCH ASSOCIATES INC</v>
      </c>
      <c r="K475" t="str">
        <f t="shared" si="167"/>
        <v>3420808</v>
      </c>
      <c r="L475" s="2" t="str">
        <f t="shared" si="170"/>
        <v>APA-15199 5/14/15-1/30/17 IMPLEMENTATION - MILESTONES 1-22 - $849,600.00</v>
      </c>
      <c r="M475" t="str">
        <f>"BOBW@KYR"</f>
        <v>BOBW@KYR</v>
      </c>
    </row>
    <row r="476" spans="1:13" x14ac:dyDescent="0.25">
      <c r="A476" t="str">
        <f t="shared" si="161"/>
        <v>10</v>
      </c>
      <c r="B476" t="str">
        <f t="shared" si="162"/>
        <v>066</v>
      </c>
      <c r="C476" t="str">
        <f t="shared" si="163"/>
        <v>3010106</v>
      </c>
      <c r="D476" t="str">
        <f t="shared" si="164"/>
        <v>03</v>
      </c>
      <c r="E476" t="str">
        <f t="shared" si="165"/>
        <v>632150</v>
      </c>
      <c r="F476" t="str">
        <f>"11/30/16"</f>
        <v>11/30/16</v>
      </c>
      <c r="G476" t="str">
        <f>"12935"</f>
        <v>12935</v>
      </c>
      <c r="H476" s="4">
        <v>24000</v>
      </c>
      <c r="I476" s="3"/>
      <c r="J476" t="str">
        <f t="shared" si="166"/>
        <v>KYRAN RESEARCH ASSOCIATES INC</v>
      </c>
      <c r="K476" t="str">
        <f t="shared" si="167"/>
        <v>3420808</v>
      </c>
      <c r="L476" s="2" t="str">
        <f t="shared" si="170"/>
        <v>APA-15199 5/14/15-1/30/17 IMPLEMENTATION - MILESTONES 1-22 - $849,600.00</v>
      </c>
      <c r="M476" t="str">
        <f>"BOBW@KYR"</f>
        <v>BOBW@KYR</v>
      </c>
    </row>
    <row r="477" spans="1:13" x14ac:dyDescent="0.25">
      <c r="A477" t="str">
        <f t="shared" si="161"/>
        <v>10</v>
      </c>
      <c r="B477" t="str">
        <f t="shared" si="162"/>
        <v>066</v>
      </c>
      <c r="C477" t="str">
        <f t="shared" si="163"/>
        <v>3010106</v>
      </c>
      <c r="D477" t="str">
        <f t="shared" si="164"/>
        <v>03</v>
      </c>
      <c r="E477" t="str">
        <f t="shared" si="165"/>
        <v>632150</v>
      </c>
      <c r="F477" t="str">
        <f>"12/31/15"</f>
        <v>12/31/15</v>
      </c>
      <c r="G477" t="str">
        <f>"12813"</f>
        <v>12813</v>
      </c>
      <c r="H477" s="4">
        <v>69600</v>
      </c>
      <c r="I477" s="3"/>
      <c r="J477" t="str">
        <f t="shared" si="166"/>
        <v>KYRAN RESEARCH ASSOCIATES INC</v>
      </c>
      <c r="K477" t="str">
        <f t="shared" si="167"/>
        <v>3420808</v>
      </c>
      <c r="L477" s="2" t="str">
        <f t="shared" si="170"/>
        <v>APA-15199 5/14/15-1/30/17 IMPLEMENTATION - MILESTONES 1-22 - $849,600.00</v>
      </c>
      <c r="M477" t="str">
        <f t="shared" ref="M477:M521" si="173">"SVALLANT"</f>
        <v>SVALLANT</v>
      </c>
    </row>
    <row r="478" spans="1:13" ht="30" x14ac:dyDescent="0.25">
      <c r="A478" t="str">
        <f t="shared" si="161"/>
        <v>10</v>
      </c>
      <c r="B478" t="str">
        <f t="shared" si="162"/>
        <v>066</v>
      </c>
      <c r="C478" t="str">
        <f t="shared" si="163"/>
        <v>3010106</v>
      </c>
      <c r="D478" t="str">
        <f t="shared" si="164"/>
        <v>03</v>
      </c>
      <c r="E478" t="str">
        <f>"641300"</f>
        <v>641300</v>
      </c>
      <c r="F478" t="str">
        <f>"02/28/17"</f>
        <v>02/28/17</v>
      </c>
      <c r="G478" t="str">
        <f>"12963"</f>
        <v>12963</v>
      </c>
      <c r="H478" s="4">
        <v>10867.5</v>
      </c>
      <c r="I478" s="3"/>
      <c r="J478" t="str">
        <f t="shared" si="166"/>
        <v>KYRAN RESEARCH ASSOCIATES INC</v>
      </c>
      <c r="K478" t="str">
        <f>"3433019FY17"</f>
        <v>3433019FY17</v>
      </c>
      <c r="L478" s="2" t="str">
        <f>"7/1/15-6/30/18 - SOFTWARE MAINTENANCE AND  TECHNICAL SUPPORT SERVICES FOR PRECIOUS METALS AND PAWNS DATABASE."</f>
        <v>7/1/15-6/30/18 - SOFTWARE MAINTENANCE AND  TECHNICAL SUPPORT SERVICES FOR PRECIOUS METALS AND PAWNS DATABASE.</v>
      </c>
      <c r="M478" t="str">
        <f t="shared" si="173"/>
        <v>SVALLANT</v>
      </c>
    </row>
    <row r="479" spans="1:13" ht="30" x14ac:dyDescent="0.25">
      <c r="A479" t="str">
        <f t="shared" si="161"/>
        <v>10</v>
      </c>
      <c r="B479" t="str">
        <f t="shared" si="162"/>
        <v>066</v>
      </c>
      <c r="C479" t="str">
        <f t="shared" si="163"/>
        <v>3010106</v>
      </c>
      <c r="D479" t="str">
        <f t="shared" si="164"/>
        <v>03</v>
      </c>
      <c r="E479" t="str">
        <f>"641300"</f>
        <v>641300</v>
      </c>
      <c r="F479" t="str">
        <f>"05/31/17"</f>
        <v>05/31/17</v>
      </c>
      <c r="G479" t="str">
        <f>"12988"</f>
        <v>12988</v>
      </c>
      <c r="H479" s="4">
        <v>5922.5</v>
      </c>
      <c r="I479" s="3"/>
      <c r="J479" t="str">
        <f t="shared" si="166"/>
        <v>KYRAN RESEARCH ASSOCIATES INC</v>
      </c>
      <c r="K479" t="str">
        <f>"3433019FY17"</f>
        <v>3433019FY17</v>
      </c>
      <c r="L479" s="2" t="str">
        <f>"7/1/15-6/30/18 - SOFTWARE MAINTENANCE AND  TECHNICAL SUPPORT SERVICES FOR PRECIOUS METALS AND PAWNS DATABASE."</f>
        <v>7/1/15-6/30/18 - SOFTWARE MAINTENANCE AND  TECHNICAL SUPPORT SERVICES FOR PRECIOUS METALS AND PAWNS DATABASE.</v>
      </c>
      <c r="M479" t="str">
        <f>"BOBW@KYR"</f>
        <v>BOBW@KYR</v>
      </c>
    </row>
    <row r="480" spans="1:13" ht="30" x14ac:dyDescent="0.25">
      <c r="A480" t="str">
        <f t="shared" si="161"/>
        <v>10</v>
      </c>
      <c r="B480" t="str">
        <f t="shared" si="162"/>
        <v>066</v>
      </c>
      <c r="C480" t="str">
        <f t="shared" si="163"/>
        <v>3010106</v>
      </c>
      <c r="D480" t="str">
        <f t="shared" si="164"/>
        <v>03</v>
      </c>
      <c r="E480" t="str">
        <f>"641300"</f>
        <v>641300</v>
      </c>
      <c r="F480" t="str">
        <f>"06/30/17"</f>
        <v>06/30/17</v>
      </c>
      <c r="G480" t="str">
        <f>"13012"</f>
        <v>13012</v>
      </c>
      <c r="H480" s="4">
        <v>3967.5</v>
      </c>
      <c r="I480" s="3"/>
      <c r="J480" t="str">
        <f t="shared" si="166"/>
        <v>KYRAN RESEARCH ASSOCIATES INC</v>
      </c>
      <c r="K480" t="str">
        <f>"3433019FY17"</f>
        <v>3433019FY17</v>
      </c>
      <c r="L480" s="2" t="str">
        <f>"7/1/15-6/30/18 - SOFTWARE MAINTENANCE AND  TECHNICAL SUPPORT SERVICES FOR PRECIOUS METALS AND PAWNS DATABASE."</f>
        <v>7/1/15-6/30/18 - SOFTWARE MAINTENANCE AND  TECHNICAL SUPPORT SERVICES FOR PRECIOUS METALS AND PAWNS DATABASE.</v>
      </c>
      <c r="M480" t="str">
        <f>"BOBW@KYR"</f>
        <v>BOBW@KYR</v>
      </c>
    </row>
    <row r="481" spans="1:13" ht="30" x14ac:dyDescent="0.25">
      <c r="A481" t="str">
        <f t="shared" si="161"/>
        <v>10</v>
      </c>
      <c r="B481" t="str">
        <f t="shared" si="162"/>
        <v>066</v>
      </c>
      <c r="C481" t="str">
        <f t="shared" si="163"/>
        <v>3010106</v>
      </c>
      <c r="D481" t="str">
        <f t="shared" si="164"/>
        <v>03</v>
      </c>
      <c r="E481" t="str">
        <f>"641300"</f>
        <v>641300</v>
      </c>
      <c r="F481" t="str">
        <f>"12/31/16"</f>
        <v>12/31/16</v>
      </c>
      <c r="G481" t="str">
        <f>"12934"</f>
        <v>12934</v>
      </c>
      <c r="H481" s="3">
        <v>4830</v>
      </c>
      <c r="I481" s="3"/>
      <c r="J481" t="str">
        <f t="shared" si="166"/>
        <v>KYRAN RESEARCH ASSOCIATES INC</v>
      </c>
      <c r="K481" t="str">
        <f>"3433019FY17"</f>
        <v>3433019FY17</v>
      </c>
      <c r="L481" s="2" t="str">
        <f>"7/1/15-6/30/18 - SOFTWARE MAINTENANCE AND  TECHNICAL SUPPORT SERVICES FOR PRECIOUS METALS AND PAWNS DATABASE."</f>
        <v>7/1/15-6/30/18 - SOFTWARE MAINTENANCE AND  TECHNICAL SUPPORT SERVICES FOR PRECIOUS METALS AND PAWNS DATABASE.</v>
      </c>
      <c r="M481" t="str">
        <f>"BOBW@KYR"</f>
        <v>BOBW@KYR</v>
      </c>
    </row>
    <row r="482" spans="1:13" x14ac:dyDescent="0.25">
      <c r="H482" s="6">
        <f>SUM(H457:H481)</f>
        <v>944792.5</v>
      </c>
      <c r="I482" s="6">
        <f>SUM(H457:H481)</f>
        <v>944792.5</v>
      </c>
      <c r="L482" s="2"/>
    </row>
    <row r="483" spans="1:13" x14ac:dyDescent="0.25">
      <c r="H483" s="3"/>
      <c r="I483" s="3"/>
      <c r="L483" s="2"/>
    </row>
    <row r="484" spans="1:13" x14ac:dyDescent="0.25">
      <c r="A484" t="str">
        <f t="shared" si="161"/>
        <v>10</v>
      </c>
      <c r="B484" t="str">
        <f t="shared" si="162"/>
        <v>066</v>
      </c>
      <c r="C484" t="str">
        <f t="shared" si="163"/>
        <v>3010106</v>
      </c>
      <c r="D484" t="str">
        <f t="shared" si="164"/>
        <v>03</v>
      </c>
      <c r="E484" t="str">
        <f t="shared" si="165"/>
        <v>632150</v>
      </c>
      <c r="F484" t="str">
        <f t="shared" ref="F484:F489" si="174">"11/30/13"</f>
        <v>11/30/13</v>
      </c>
      <c r="G484" s="8" t="str">
        <f t="shared" ref="G484:G489" si="175">"12528"</f>
        <v>12528</v>
      </c>
      <c r="H484" s="3">
        <v>11760</v>
      </c>
      <c r="I484" s="3"/>
      <c r="J484" t="str">
        <f t="shared" si="166"/>
        <v>KYRAN RESEARCH ASSOCIATES INC</v>
      </c>
      <c r="K484" t="str">
        <f t="shared" ref="K484:K495" si="176">"3342737"</f>
        <v>3342737</v>
      </c>
      <c r="L484" s="2" t="str">
        <f>"APA-12853 - 8/30/13-6/30/14 - SQL DEVELOPER"</f>
        <v>APA-12853 - 8/30/13-6/30/14 - SQL DEVELOPER</v>
      </c>
      <c r="M484" t="str">
        <f>"BOBW@KYR"</f>
        <v>BOBW@KYR</v>
      </c>
    </row>
    <row r="485" spans="1:13" x14ac:dyDescent="0.25">
      <c r="A485" t="str">
        <f t="shared" si="161"/>
        <v>10</v>
      </c>
      <c r="B485" t="str">
        <f t="shared" si="162"/>
        <v>066</v>
      </c>
      <c r="C485" t="str">
        <f t="shared" si="163"/>
        <v>3010106</v>
      </c>
      <c r="D485" t="str">
        <f t="shared" si="164"/>
        <v>03</v>
      </c>
      <c r="E485" t="str">
        <f t="shared" si="165"/>
        <v>632150</v>
      </c>
      <c r="F485" t="str">
        <f t="shared" si="174"/>
        <v>11/30/13</v>
      </c>
      <c r="G485" s="8" t="str">
        <f t="shared" si="175"/>
        <v>12528</v>
      </c>
      <c r="H485" s="3">
        <v>6420</v>
      </c>
      <c r="I485" s="3"/>
      <c r="J485" t="str">
        <f t="shared" si="166"/>
        <v>KYRAN RESEARCH ASSOCIATES INC</v>
      </c>
      <c r="K485" t="str">
        <f t="shared" si="176"/>
        <v>3342737</v>
      </c>
      <c r="L485" s="2" t="str">
        <f>"APA-12853 - 8/30/13-6/30/14 - SOFTWARE QA ANALYST (SUPPORTING)"</f>
        <v>APA-12853 - 8/30/13-6/30/14 - SOFTWARE QA ANALYST (SUPPORTING)</v>
      </c>
      <c r="M485" t="str">
        <f t="shared" si="172"/>
        <v>SVALLANT</v>
      </c>
    </row>
    <row r="486" spans="1:13" x14ac:dyDescent="0.25">
      <c r="A486" t="str">
        <f t="shared" si="161"/>
        <v>10</v>
      </c>
      <c r="B486" t="str">
        <f t="shared" si="162"/>
        <v>066</v>
      </c>
      <c r="C486" t="str">
        <f t="shared" si="163"/>
        <v>3010106</v>
      </c>
      <c r="D486" t="str">
        <f t="shared" si="164"/>
        <v>03</v>
      </c>
      <c r="E486" t="str">
        <f t="shared" si="165"/>
        <v>632150</v>
      </c>
      <c r="F486" t="str">
        <f t="shared" si="174"/>
        <v>11/30/13</v>
      </c>
      <c r="G486" s="8" t="str">
        <f t="shared" si="175"/>
        <v>12528</v>
      </c>
      <c r="H486" s="4">
        <v>10500</v>
      </c>
      <c r="I486" s="3"/>
      <c r="J486" t="str">
        <f t="shared" si="166"/>
        <v>KYRAN RESEARCH ASSOCIATES INC</v>
      </c>
      <c r="K486" t="str">
        <f t="shared" si="176"/>
        <v>3342737</v>
      </c>
      <c r="L486" s="2" t="str">
        <f>"APA-12853 - 8/30/13-6/30/14 - SENIOR TECHNICAL ARCHITECT"</f>
        <v>APA-12853 - 8/30/13-6/30/14 - SENIOR TECHNICAL ARCHITECT</v>
      </c>
      <c r="M486" t="str">
        <f t="shared" si="172"/>
        <v>SVALLANT</v>
      </c>
    </row>
    <row r="487" spans="1:13" x14ac:dyDescent="0.25">
      <c r="A487" t="str">
        <f t="shared" si="161"/>
        <v>10</v>
      </c>
      <c r="B487" t="str">
        <f t="shared" si="162"/>
        <v>066</v>
      </c>
      <c r="C487" t="str">
        <f t="shared" si="163"/>
        <v>3010106</v>
      </c>
      <c r="D487" t="str">
        <f t="shared" si="164"/>
        <v>03</v>
      </c>
      <c r="E487" t="str">
        <f t="shared" si="165"/>
        <v>632150</v>
      </c>
      <c r="F487" t="str">
        <f t="shared" si="174"/>
        <v>11/30/13</v>
      </c>
      <c r="G487" s="8" t="str">
        <f t="shared" si="175"/>
        <v>12528</v>
      </c>
      <c r="H487" s="4">
        <v>31290</v>
      </c>
      <c r="I487" s="3"/>
      <c r="J487" t="str">
        <f t="shared" si="166"/>
        <v>KYRAN RESEARCH ASSOCIATES INC</v>
      </c>
      <c r="K487" t="str">
        <f t="shared" si="176"/>
        <v>3342737</v>
      </c>
      <c r="L487" s="2" t="str">
        <f>"APA-12853 - 8/30/13-6/30/14 - BUSINESS ANALYST"</f>
        <v>APA-12853 - 8/30/13-6/30/14 - BUSINESS ANALYST</v>
      </c>
      <c r="M487" t="str">
        <f t="shared" si="172"/>
        <v>SVALLANT</v>
      </c>
    </row>
    <row r="488" spans="1:13" x14ac:dyDescent="0.25">
      <c r="A488" t="str">
        <f t="shared" si="161"/>
        <v>10</v>
      </c>
      <c r="B488" t="str">
        <f t="shared" si="162"/>
        <v>066</v>
      </c>
      <c r="C488" t="str">
        <f t="shared" si="163"/>
        <v>3010106</v>
      </c>
      <c r="D488" t="str">
        <f t="shared" si="164"/>
        <v>03</v>
      </c>
      <c r="E488" t="str">
        <f t="shared" si="165"/>
        <v>632150</v>
      </c>
      <c r="F488" t="str">
        <f t="shared" si="174"/>
        <v>11/30/13</v>
      </c>
      <c r="G488" s="8" t="str">
        <f t="shared" si="175"/>
        <v>12528</v>
      </c>
      <c r="H488" s="4">
        <v>6510</v>
      </c>
      <c r="I488" s="3"/>
      <c r="J488" t="str">
        <f t="shared" si="166"/>
        <v>KYRAN RESEARCH ASSOCIATES INC</v>
      </c>
      <c r="K488" t="str">
        <f t="shared" si="176"/>
        <v>3342737</v>
      </c>
      <c r="L488" s="2" t="str">
        <f>"APA-12853 - 8/30/13-6/30/14 - SQL DATABASE ARCHITECT"</f>
        <v>APA-12853 - 8/30/13-6/30/14 - SQL DATABASE ARCHITECT</v>
      </c>
      <c r="M488" t="str">
        <f t="shared" si="172"/>
        <v>SVALLANT</v>
      </c>
    </row>
    <row r="489" spans="1:13" x14ac:dyDescent="0.25">
      <c r="A489" t="str">
        <f t="shared" si="161"/>
        <v>10</v>
      </c>
      <c r="B489" t="str">
        <f t="shared" si="162"/>
        <v>066</v>
      </c>
      <c r="C489" t="str">
        <f t="shared" si="163"/>
        <v>3010106</v>
      </c>
      <c r="D489" t="str">
        <f t="shared" si="164"/>
        <v>03</v>
      </c>
      <c r="E489" t="str">
        <f t="shared" si="165"/>
        <v>632150</v>
      </c>
      <c r="F489" t="str">
        <f t="shared" si="174"/>
        <v>11/30/13</v>
      </c>
      <c r="G489" s="8" t="str">
        <f t="shared" si="175"/>
        <v>12528</v>
      </c>
      <c r="H489" s="4">
        <v>16620</v>
      </c>
      <c r="I489" s="3"/>
      <c r="J489" t="str">
        <f t="shared" si="166"/>
        <v>KYRAN RESEARCH ASSOCIATES INC</v>
      </c>
      <c r="K489" t="str">
        <f t="shared" si="176"/>
        <v>3342737</v>
      </c>
      <c r="L489" s="2" t="str">
        <f>"APA-12853 - 8/30/13-6/30/14 - PROJECT MANAGER"</f>
        <v>APA-12853 - 8/30/13-6/30/14 - PROJECT MANAGER</v>
      </c>
      <c r="M489" t="str">
        <f t="shared" si="172"/>
        <v>SVALLANT</v>
      </c>
    </row>
    <row r="490" spans="1:13" x14ac:dyDescent="0.25">
      <c r="A490" t="str">
        <f t="shared" si="161"/>
        <v>10</v>
      </c>
      <c r="B490" t="str">
        <f t="shared" si="162"/>
        <v>066</v>
      </c>
      <c r="C490" t="str">
        <f t="shared" si="163"/>
        <v>3010106</v>
      </c>
      <c r="D490" t="str">
        <f t="shared" si="164"/>
        <v>03</v>
      </c>
      <c r="E490" t="str">
        <f t="shared" si="165"/>
        <v>632150</v>
      </c>
      <c r="F490" t="str">
        <f t="shared" ref="F490:F495" si="177">"10/31/13"</f>
        <v>10/31/13</v>
      </c>
      <c r="G490" s="8" t="str">
        <f t="shared" ref="G490:G495" si="178">"12515"</f>
        <v>12515</v>
      </c>
      <c r="H490" s="4">
        <v>18295.939999999999</v>
      </c>
      <c r="I490" s="3"/>
      <c r="J490" t="str">
        <f t="shared" si="166"/>
        <v>KYRAN RESEARCH ASSOCIATES INC</v>
      </c>
      <c r="K490" t="str">
        <f t="shared" si="176"/>
        <v>3342737</v>
      </c>
      <c r="L490" s="2" t="str">
        <f>"APA-12853 - 8/30/13-6/30/14 - BUSINESS ANALYST"</f>
        <v>APA-12853 - 8/30/13-6/30/14 - BUSINESS ANALYST</v>
      </c>
      <c r="M490" t="str">
        <f t="shared" si="169"/>
        <v>BOBW@KYR</v>
      </c>
    </row>
    <row r="491" spans="1:13" x14ac:dyDescent="0.25">
      <c r="A491" t="str">
        <f t="shared" si="161"/>
        <v>10</v>
      </c>
      <c r="B491" t="str">
        <f t="shared" si="162"/>
        <v>066</v>
      </c>
      <c r="C491" t="str">
        <f t="shared" si="163"/>
        <v>3010106</v>
      </c>
      <c r="D491" t="str">
        <f t="shared" si="164"/>
        <v>03</v>
      </c>
      <c r="E491" t="str">
        <f t="shared" si="165"/>
        <v>632150</v>
      </c>
      <c r="F491" t="str">
        <f t="shared" si="177"/>
        <v>10/31/13</v>
      </c>
      <c r="G491" s="8" t="str">
        <f t="shared" si="178"/>
        <v>12515</v>
      </c>
      <c r="H491" s="4">
        <v>1522.5</v>
      </c>
      <c r="I491" s="3"/>
      <c r="J491" t="str">
        <f t="shared" si="166"/>
        <v>KYRAN RESEARCH ASSOCIATES INC</v>
      </c>
      <c r="K491" t="str">
        <f t="shared" si="176"/>
        <v>3342737</v>
      </c>
      <c r="L491" s="2" t="str">
        <f>"APA-12853 - 8/30/13-6/30/14 - SENIOR TECHNICAL ARCHITECT"</f>
        <v>APA-12853 - 8/30/13-6/30/14 - SENIOR TECHNICAL ARCHITECT</v>
      </c>
      <c r="M491" t="str">
        <f t="shared" si="171"/>
        <v>SVALLANT</v>
      </c>
    </row>
    <row r="492" spans="1:13" x14ac:dyDescent="0.25">
      <c r="A492" t="str">
        <f t="shared" si="161"/>
        <v>10</v>
      </c>
      <c r="B492" t="str">
        <f t="shared" si="162"/>
        <v>066</v>
      </c>
      <c r="C492" t="str">
        <f t="shared" si="163"/>
        <v>3010106</v>
      </c>
      <c r="D492" t="str">
        <f t="shared" si="164"/>
        <v>03</v>
      </c>
      <c r="E492" t="str">
        <f t="shared" si="165"/>
        <v>632150</v>
      </c>
      <c r="F492" t="str">
        <f t="shared" si="177"/>
        <v>10/31/13</v>
      </c>
      <c r="G492" s="8" t="str">
        <f t="shared" si="178"/>
        <v>12515</v>
      </c>
      <c r="H492" s="4">
        <v>6378.75</v>
      </c>
      <c r="I492" s="3"/>
      <c r="J492" t="str">
        <f t="shared" si="166"/>
        <v>KYRAN RESEARCH ASSOCIATES INC</v>
      </c>
      <c r="K492" t="str">
        <f t="shared" si="176"/>
        <v>3342737</v>
      </c>
      <c r="L492" s="2" t="str">
        <f>"APA-12853 - 8/30/13-6/30/14 - SQL DATABASE ARCHITECT"</f>
        <v>APA-12853 - 8/30/13-6/30/14 - SQL DATABASE ARCHITECT</v>
      </c>
      <c r="M492" t="str">
        <f t="shared" si="171"/>
        <v>SVALLANT</v>
      </c>
    </row>
    <row r="493" spans="1:13" x14ac:dyDescent="0.25">
      <c r="A493" t="str">
        <f t="shared" si="161"/>
        <v>10</v>
      </c>
      <c r="B493" t="str">
        <f t="shared" si="162"/>
        <v>066</v>
      </c>
      <c r="C493" t="str">
        <f t="shared" si="163"/>
        <v>3010106</v>
      </c>
      <c r="D493" t="str">
        <f t="shared" si="164"/>
        <v>03</v>
      </c>
      <c r="E493" t="str">
        <f t="shared" si="165"/>
        <v>632150</v>
      </c>
      <c r="F493" t="str">
        <f t="shared" si="177"/>
        <v>10/31/13</v>
      </c>
      <c r="G493" s="8" t="str">
        <f t="shared" si="178"/>
        <v>12515</v>
      </c>
      <c r="H493" s="4">
        <v>13686.75</v>
      </c>
      <c r="I493" s="3"/>
      <c r="J493" t="str">
        <f t="shared" si="166"/>
        <v>KYRAN RESEARCH ASSOCIATES INC</v>
      </c>
      <c r="K493" t="str">
        <f t="shared" si="176"/>
        <v>3342737</v>
      </c>
      <c r="L493" s="2" t="str">
        <f>"APA-12853 - 8/30/13-6/30/14 - SQL DEVELOPER"</f>
        <v>APA-12853 - 8/30/13-6/30/14 - SQL DEVELOPER</v>
      </c>
      <c r="M493" t="str">
        <f t="shared" si="171"/>
        <v>SVALLANT</v>
      </c>
    </row>
    <row r="494" spans="1:13" x14ac:dyDescent="0.25">
      <c r="A494" t="str">
        <f t="shared" si="161"/>
        <v>10</v>
      </c>
      <c r="B494" t="str">
        <f t="shared" si="162"/>
        <v>066</v>
      </c>
      <c r="C494" t="str">
        <f t="shared" si="163"/>
        <v>3010106</v>
      </c>
      <c r="D494" t="str">
        <f t="shared" si="164"/>
        <v>03</v>
      </c>
      <c r="E494" t="str">
        <f t="shared" si="165"/>
        <v>632150</v>
      </c>
      <c r="F494" t="str">
        <f t="shared" si="177"/>
        <v>10/31/13</v>
      </c>
      <c r="G494" s="8" t="str">
        <f t="shared" si="178"/>
        <v>12515</v>
      </c>
      <c r="H494" s="4">
        <v>4436.0600000000004</v>
      </c>
      <c r="I494" s="3"/>
      <c r="J494" t="str">
        <f t="shared" si="166"/>
        <v>KYRAN RESEARCH ASSOCIATES INC</v>
      </c>
      <c r="K494" t="str">
        <f t="shared" si="176"/>
        <v>3342737</v>
      </c>
      <c r="L494" s="2" t="str">
        <f>"APA-12853 - 8/30/13-6/30/14 - SOFTWARE QA ANALYST (SUPPORTING)"</f>
        <v>APA-12853 - 8/30/13-6/30/14 - SOFTWARE QA ANALYST (SUPPORTING)</v>
      </c>
      <c r="M494" t="str">
        <f t="shared" si="171"/>
        <v>SVALLANT</v>
      </c>
    </row>
    <row r="495" spans="1:13" x14ac:dyDescent="0.25">
      <c r="A495" t="str">
        <f t="shared" si="161"/>
        <v>10</v>
      </c>
      <c r="B495" t="str">
        <f t="shared" si="162"/>
        <v>066</v>
      </c>
      <c r="C495" t="str">
        <f t="shared" si="163"/>
        <v>3010106</v>
      </c>
      <c r="D495" t="str">
        <f t="shared" si="164"/>
        <v>03</v>
      </c>
      <c r="E495" t="str">
        <f t="shared" si="165"/>
        <v>632150</v>
      </c>
      <c r="F495" t="str">
        <f t="shared" si="177"/>
        <v>10/31/13</v>
      </c>
      <c r="G495" s="8" t="str">
        <f t="shared" si="178"/>
        <v>12515</v>
      </c>
      <c r="H495" s="4">
        <v>11080</v>
      </c>
      <c r="I495" s="3"/>
      <c r="J495" t="str">
        <f t="shared" si="166"/>
        <v>KYRAN RESEARCH ASSOCIATES INC</v>
      </c>
      <c r="K495" t="str">
        <f t="shared" si="176"/>
        <v>3342737</v>
      </c>
      <c r="L495" s="2" t="str">
        <f>"APA-12853 - 8/30/13-6/30/14 - PROJECT MANAGER"</f>
        <v>APA-12853 - 8/30/13-6/30/14 - PROJECT MANAGER</v>
      </c>
      <c r="M495" t="str">
        <f t="shared" si="171"/>
        <v>SVALLANT</v>
      </c>
    </row>
    <row r="496" spans="1:13" x14ac:dyDescent="0.25">
      <c r="A496" t="str">
        <f t="shared" si="161"/>
        <v>10</v>
      </c>
      <c r="B496" t="str">
        <f t="shared" si="162"/>
        <v>066</v>
      </c>
      <c r="C496" t="str">
        <f t="shared" si="163"/>
        <v>3010106</v>
      </c>
      <c r="D496" t="str">
        <f t="shared" si="164"/>
        <v>03</v>
      </c>
      <c r="E496" t="str">
        <f t="shared" si="165"/>
        <v>632150</v>
      </c>
      <c r="F496" t="str">
        <f t="shared" ref="F496:F502" si="179">"04/30/14"</f>
        <v>04/30/14</v>
      </c>
      <c r="G496" s="8" t="str">
        <f t="shared" ref="G496:G502" si="180">"12568"</f>
        <v>12568</v>
      </c>
      <c r="H496" s="4">
        <v>1260</v>
      </c>
      <c r="I496" s="3"/>
      <c r="J496" t="str">
        <f t="shared" si="166"/>
        <v>KYRAN RESEARCH ASSOCIATES INC</v>
      </c>
      <c r="K496" t="str">
        <f>"3342737"</f>
        <v>3342737</v>
      </c>
      <c r="L496" s="2" t="str">
        <f>"APA-12853 - 8/30/13-6/30/14 - SENIOR TECHNICAL ARCHITECT"</f>
        <v>APA-12853 - 8/30/13-6/30/14 - SENIOR TECHNICAL ARCHITECT</v>
      </c>
      <c r="M496" t="str">
        <f>"BOBW@KYR"</f>
        <v>BOBW@KYR</v>
      </c>
    </row>
    <row r="497" spans="1:13" x14ac:dyDescent="0.25">
      <c r="A497" t="str">
        <f t="shared" si="161"/>
        <v>10</v>
      </c>
      <c r="B497" t="str">
        <f t="shared" si="162"/>
        <v>066</v>
      </c>
      <c r="C497" t="str">
        <f t="shared" si="163"/>
        <v>3010106</v>
      </c>
      <c r="D497" t="str">
        <f t="shared" si="164"/>
        <v>03</v>
      </c>
      <c r="E497" t="str">
        <f t="shared" si="165"/>
        <v>632150</v>
      </c>
      <c r="F497" t="str">
        <f t="shared" si="179"/>
        <v>04/30/14</v>
      </c>
      <c r="G497" s="8" t="str">
        <f t="shared" si="180"/>
        <v>12568</v>
      </c>
      <c r="H497" s="4">
        <v>-0.01</v>
      </c>
      <c r="I497" s="3"/>
      <c r="J497" t="str">
        <f t="shared" si="166"/>
        <v>KYRAN RESEARCH ASSOCIATES INC</v>
      </c>
      <c r="K497" t="str">
        <f>""</f>
        <v/>
      </c>
      <c r="L497" s="2" t="str">
        <f>"fix rounding"</f>
        <v>fix rounding</v>
      </c>
      <c r="M497" t="str">
        <f t="shared" si="168"/>
        <v>SVALLANT</v>
      </c>
    </row>
    <row r="498" spans="1:13" x14ac:dyDescent="0.25">
      <c r="A498" t="str">
        <f t="shared" si="161"/>
        <v>10</v>
      </c>
      <c r="B498" t="str">
        <f t="shared" si="162"/>
        <v>066</v>
      </c>
      <c r="C498" t="str">
        <f t="shared" si="163"/>
        <v>3010106</v>
      </c>
      <c r="D498" t="str">
        <f t="shared" si="164"/>
        <v>03</v>
      </c>
      <c r="E498" t="str">
        <f t="shared" si="165"/>
        <v>632150</v>
      </c>
      <c r="F498" t="str">
        <f t="shared" si="179"/>
        <v>04/30/14</v>
      </c>
      <c r="G498" s="8" t="str">
        <f t="shared" si="180"/>
        <v>12568</v>
      </c>
      <c r="H498" s="4">
        <v>5540</v>
      </c>
      <c r="I498" s="3"/>
      <c r="J498" t="str">
        <f t="shared" si="166"/>
        <v>KYRAN RESEARCH ASSOCIATES INC</v>
      </c>
      <c r="K498" t="str">
        <f>"3342737"</f>
        <v>3342737</v>
      </c>
      <c r="L498" s="2" t="str">
        <f>"APA-12853 - 8/30/13-6/30/14 - PROJECT MANAGER"</f>
        <v>APA-12853 - 8/30/13-6/30/14 - PROJECT MANAGER</v>
      </c>
      <c r="M498" t="str">
        <f t="shared" si="168"/>
        <v>SVALLANT</v>
      </c>
    </row>
    <row r="499" spans="1:13" x14ac:dyDescent="0.25">
      <c r="A499" t="str">
        <f t="shared" si="161"/>
        <v>10</v>
      </c>
      <c r="B499" t="str">
        <f t="shared" si="162"/>
        <v>066</v>
      </c>
      <c r="C499" t="str">
        <f t="shared" si="163"/>
        <v>3010106</v>
      </c>
      <c r="D499" t="str">
        <f t="shared" si="164"/>
        <v>03</v>
      </c>
      <c r="E499" t="str">
        <f t="shared" si="165"/>
        <v>632150</v>
      </c>
      <c r="F499" t="str">
        <f t="shared" si="179"/>
        <v>04/30/14</v>
      </c>
      <c r="G499" s="8" t="str">
        <f t="shared" si="180"/>
        <v>12568</v>
      </c>
      <c r="H499" s="4">
        <v>3254.69</v>
      </c>
      <c r="I499" s="3"/>
      <c r="J499" t="str">
        <f t="shared" si="166"/>
        <v>KYRAN RESEARCH ASSOCIATES INC</v>
      </c>
      <c r="K499" t="str">
        <f>"3342737"</f>
        <v>3342737</v>
      </c>
      <c r="L499" s="2" t="str">
        <f>"APA-12853 - 8/30/13-6/30/14 - SOFTWARE QA ANALYST (SUPPORTING)"</f>
        <v>APA-12853 - 8/30/13-6/30/14 - SOFTWARE QA ANALYST (SUPPORTING)</v>
      </c>
      <c r="M499" t="str">
        <f t="shared" si="168"/>
        <v>SVALLANT</v>
      </c>
    </row>
    <row r="500" spans="1:13" x14ac:dyDescent="0.25">
      <c r="A500" t="str">
        <f t="shared" si="161"/>
        <v>10</v>
      </c>
      <c r="B500" t="str">
        <f t="shared" si="162"/>
        <v>066</v>
      </c>
      <c r="C500" t="str">
        <f t="shared" si="163"/>
        <v>3010106</v>
      </c>
      <c r="D500" t="str">
        <f t="shared" si="164"/>
        <v>03</v>
      </c>
      <c r="E500" t="str">
        <f t="shared" si="165"/>
        <v>632150</v>
      </c>
      <c r="F500" t="str">
        <f t="shared" si="179"/>
        <v>04/30/14</v>
      </c>
      <c r="G500" s="8" t="str">
        <f t="shared" si="180"/>
        <v>12568</v>
      </c>
      <c r="H500" s="4">
        <v>3675</v>
      </c>
      <c r="I500" s="3"/>
      <c r="J500" t="str">
        <f t="shared" si="166"/>
        <v>KYRAN RESEARCH ASSOCIATES INC</v>
      </c>
      <c r="K500" t="str">
        <f>"3342737"</f>
        <v>3342737</v>
      </c>
      <c r="L500" s="2" t="str">
        <f>"APA-12853 - 8/30/13-6/30/14 - SQL DATABASE ARCHITECT"</f>
        <v>APA-12853 - 8/30/13-6/30/14 - SQL DATABASE ARCHITECT</v>
      </c>
      <c r="M500" t="str">
        <f t="shared" si="168"/>
        <v>SVALLANT</v>
      </c>
    </row>
    <row r="501" spans="1:13" x14ac:dyDescent="0.25">
      <c r="A501" t="str">
        <f t="shared" si="161"/>
        <v>10</v>
      </c>
      <c r="B501" t="str">
        <f t="shared" si="162"/>
        <v>066</v>
      </c>
      <c r="C501" t="str">
        <f t="shared" si="163"/>
        <v>3010106</v>
      </c>
      <c r="D501" t="str">
        <f t="shared" si="164"/>
        <v>03</v>
      </c>
      <c r="E501" t="str">
        <f t="shared" si="165"/>
        <v>632150</v>
      </c>
      <c r="F501" t="str">
        <f t="shared" si="179"/>
        <v>04/30/14</v>
      </c>
      <c r="G501" s="8" t="str">
        <f t="shared" si="180"/>
        <v>12568</v>
      </c>
      <c r="H501" s="4">
        <v>8715.32</v>
      </c>
      <c r="I501" s="3"/>
      <c r="J501" t="str">
        <f t="shared" si="166"/>
        <v>KYRAN RESEARCH ASSOCIATES INC</v>
      </c>
      <c r="K501" t="str">
        <f>"3342737"</f>
        <v>3342737</v>
      </c>
      <c r="L501" s="2" t="str">
        <f>"APA-12853 - 8/30/13-6/30/14 - BUSINESS ANALYST"</f>
        <v>APA-12853 - 8/30/13-6/30/14 - BUSINESS ANALYST</v>
      </c>
      <c r="M501" t="str">
        <f t="shared" si="168"/>
        <v>SVALLANT</v>
      </c>
    </row>
    <row r="502" spans="1:13" x14ac:dyDescent="0.25">
      <c r="A502" t="str">
        <f t="shared" si="161"/>
        <v>10</v>
      </c>
      <c r="B502" t="str">
        <f t="shared" si="162"/>
        <v>066</v>
      </c>
      <c r="C502" t="str">
        <f t="shared" si="163"/>
        <v>3010106</v>
      </c>
      <c r="D502" t="str">
        <f t="shared" si="164"/>
        <v>03</v>
      </c>
      <c r="E502" t="str">
        <f t="shared" si="165"/>
        <v>632150</v>
      </c>
      <c r="F502" t="str">
        <f t="shared" si="179"/>
        <v>04/30/14</v>
      </c>
      <c r="G502" s="8" t="str">
        <f t="shared" si="180"/>
        <v>12568</v>
      </c>
      <c r="H502" s="4">
        <v>5250</v>
      </c>
      <c r="I502" s="3"/>
      <c r="J502" t="str">
        <f t="shared" si="166"/>
        <v>KYRAN RESEARCH ASSOCIATES INC</v>
      </c>
      <c r="K502" t="str">
        <f>"3342737"</f>
        <v>3342737</v>
      </c>
      <c r="L502" s="2" t="str">
        <f>"APA-12853 - 8/30/13-6/30/14 - SQL DEVELOPER"</f>
        <v>APA-12853 - 8/30/13-6/30/14 - SQL DEVELOPER</v>
      </c>
      <c r="M502" t="str">
        <f t="shared" si="168"/>
        <v>SVALLANT</v>
      </c>
    </row>
    <row r="503" spans="1:13" x14ac:dyDescent="0.25">
      <c r="A503" t="str">
        <f t="shared" si="161"/>
        <v>10</v>
      </c>
      <c r="B503" t="str">
        <f t="shared" si="162"/>
        <v>066</v>
      </c>
      <c r="C503" t="str">
        <f t="shared" si="163"/>
        <v>3010106</v>
      </c>
      <c r="D503" t="str">
        <f t="shared" si="164"/>
        <v>03</v>
      </c>
      <c r="E503" t="str">
        <f t="shared" si="165"/>
        <v>632150</v>
      </c>
      <c r="F503" t="str">
        <f t="shared" ref="F503:F508" si="181">"12/31/13"</f>
        <v>12/31/13</v>
      </c>
      <c r="G503" s="8" t="str">
        <f t="shared" ref="G503:G508" si="182">"12542A"</f>
        <v>12542A</v>
      </c>
      <c r="H503" s="4">
        <v>45780</v>
      </c>
      <c r="I503" s="3"/>
      <c r="J503" t="str">
        <f t="shared" si="166"/>
        <v>KYRAN RESEARCH ASSOCIATES INC</v>
      </c>
      <c r="K503" t="str">
        <f t="shared" ref="K503:K508" si="183">"3342737"</f>
        <v>3342737</v>
      </c>
      <c r="L503" s="2" t="str">
        <f>"APA-12853 - 8/30/13-6/30/14 - BUSINESS ANALYST"</f>
        <v>APA-12853 - 8/30/13-6/30/14 - BUSINESS ANALYST</v>
      </c>
      <c r="M503" t="str">
        <f>"BOBW@KYR"</f>
        <v>BOBW@KYR</v>
      </c>
    </row>
    <row r="504" spans="1:13" x14ac:dyDescent="0.25">
      <c r="A504" t="str">
        <f t="shared" si="161"/>
        <v>10</v>
      </c>
      <c r="B504" t="str">
        <f t="shared" si="162"/>
        <v>066</v>
      </c>
      <c r="C504" t="str">
        <f t="shared" si="163"/>
        <v>3010106</v>
      </c>
      <c r="D504" t="str">
        <f t="shared" si="164"/>
        <v>03</v>
      </c>
      <c r="E504" t="str">
        <f t="shared" si="165"/>
        <v>632150</v>
      </c>
      <c r="F504" t="str">
        <f t="shared" si="181"/>
        <v>12/31/13</v>
      </c>
      <c r="G504" s="8" t="str">
        <f t="shared" si="182"/>
        <v>12542A</v>
      </c>
      <c r="H504" s="4">
        <v>22160</v>
      </c>
      <c r="I504" s="3"/>
      <c r="J504" t="str">
        <f t="shared" si="166"/>
        <v>KYRAN RESEARCH ASSOCIATES INC</v>
      </c>
      <c r="K504" t="str">
        <f t="shared" si="183"/>
        <v>3342737</v>
      </c>
      <c r="L504" s="2" t="str">
        <f>"APA-12853 - 8/30/13-6/30/14 - PROJECT MANAGER"</f>
        <v>APA-12853 - 8/30/13-6/30/14 - PROJECT MANAGER</v>
      </c>
      <c r="M504" t="str">
        <f t="shared" si="173"/>
        <v>SVALLANT</v>
      </c>
    </row>
    <row r="505" spans="1:13" x14ac:dyDescent="0.25">
      <c r="A505" t="str">
        <f t="shared" si="161"/>
        <v>10</v>
      </c>
      <c r="B505" t="str">
        <f t="shared" si="162"/>
        <v>066</v>
      </c>
      <c r="C505" t="str">
        <f t="shared" si="163"/>
        <v>3010106</v>
      </c>
      <c r="D505" t="str">
        <f t="shared" si="164"/>
        <v>03</v>
      </c>
      <c r="E505" t="str">
        <f t="shared" si="165"/>
        <v>632150</v>
      </c>
      <c r="F505" t="str">
        <f t="shared" si="181"/>
        <v>12/31/13</v>
      </c>
      <c r="G505" s="8" t="str">
        <f t="shared" si="182"/>
        <v>12542A</v>
      </c>
      <c r="H505" s="4">
        <v>14070</v>
      </c>
      <c r="I505" s="3"/>
      <c r="J505" t="str">
        <f t="shared" si="166"/>
        <v>KYRAN RESEARCH ASSOCIATES INC</v>
      </c>
      <c r="K505" t="str">
        <f t="shared" si="183"/>
        <v>3342737</v>
      </c>
      <c r="L505" s="2" t="str">
        <f>"APA-12853 - 8/30/13-6/30/14 - SOFTWARE QA ANALYST (SUPPORTING)"</f>
        <v>APA-12853 - 8/30/13-6/30/14 - SOFTWARE QA ANALYST (SUPPORTING)</v>
      </c>
      <c r="M505" t="str">
        <f t="shared" si="173"/>
        <v>SVALLANT</v>
      </c>
    </row>
    <row r="506" spans="1:13" x14ac:dyDescent="0.25">
      <c r="A506" t="str">
        <f t="shared" si="161"/>
        <v>10</v>
      </c>
      <c r="B506" t="str">
        <f t="shared" si="162"/>
        <v>066</v>
      </c>
      <c r="C506" t="str">
        <f t="shared" si="163"/>
        <v>3010106</v>
      </c>
      <c r="D506" t="str">
        <f t="shared" si="164"/>
        <v>03</v>
      </c>
      <c r="E506" t="str">
        <f t="shared" si="165"/>
        <v>632150</v>
      </c>
      <c r="F506" t="str">
        <f t="shared" si="181"/>
        <v>12/31/13</v>
      </c>
      <c r="G506" s="8" t="str">
        <f t="shared" si="182"/>
        <v>12542A</v>
      </c>
      <c r="H506" s="4">
        <v>9240</v>
      </c>
      <c r="I506" s="3"/>
      <c r="J506" t="str">
        <f t="shared" si="166"/>
        <v>KYRAN RESEARCH ASSOCIATES INC</v>
      </c>
      <c r="K506" t="str">
        <f t="shared" si="183"/>
        <v>3342737</v>
      </c>
      <c r="L506" s="2" t="str">
        <f>"APA-12853 - 8/30/13-6/30/14 - SQL DEVELOPER"</f>
        <v>APA-12853 - 8/30/13-6/30/14 - SQL DEVELOPER</v>
      </c>
      <c r="M506" t="str">
        <f t="shared" si="173"/>
        <v>SVALLANT</v>
      </c>
    </row>
    <row r="507" spans="1:13" x14ac:dyDescent="0.25">
      <c r="A507" t="str">
        <f t="shared" si="161"/>
        <v>10</v>
      </c>
      <c r="B507" t="str">
        <f t="shared" si="162"/>
        <v>066</v>
      </c>
      <c r="C507" t="str">
        <f t="shared" si="163"/>
        <v>3010106</v>
      </c>
      <c r="D507" t="str">
        <f t="shared" si="164"/>
        <v>03</v>
      </c>
      <c r="E507" t="str">
        <f t="shared" si="165"/>
        <v>632150</v>
      </c>
      <c r="F507" t="str">
        <f t="shared" si="181"/>
        <v>12/31/13</v>
      </c>
      <c r="G507" s="8" t="str">
        <f t="shared" si="182"/>
        <v>12542A</v>
      </c>
      <c r="H507" s="4">
        <v>8295</v>
      </c>
      <c r="I507" s="3"/>
      <c r="J507" t="str">
        <f t="shared" si="166"/>
        <v>KYRAN RESEARCH ASSOCIATES INC</v>
      </c>
      <c r="K507" t="str">
        <f t="shared" si="183"/>
        <v>3342737</v>
      </c>
      <c r="L507" s="2" t="str">
        <f>"APA-12853 - 8/30/13-6/30/14 - SENIOR TECHNICAL ARCHITECT"</f>
        <v>APA-12853 - 8/30/13-6/30/14 - SENIOR TECHNICAL ARCHITECT</v>
      </c>
      <c r="M507" t="str">
        <f t="shared" si="173"/>
        <v>SVALLANT</v>
      </c>
    </row>
    <row r="508" spans="1:13" x14ac:dyDescent="0.25">
      <c r="A508" t="str">
        <f t="shared" si="161"/>
        <v>10</v>
      </c>
      <c r="B508" t="str">
        <f t="shared" si="162"/>
        <v>066</v>
      </c>
      <c r="C508" t="str">
        <f t="shared" si="163"/>
        <v>3010106</v>
      </c>
      <c r="D508" t="str">
        <f t="shared" si="164"/>
        <v>03</v>
      </c>
      <c r="E508" t="str">
        <f t="shared" si="165"/>
        <v>632150</v>
      </c>
      <c r="F508" t="str">
        <f t="shared" si="181"/>
        <v>12/31/13</v>
      </c>
      <c r="G508" s="8" t="str">
        <f t="shared" si="182"/>
        <v>12542A</v>
      </c>
      <c r="H508" s="4">
        <v>11235</v>
      </c>
      <c r="I508" s="3"/>
      <c r="J508" t="str">
        <f t="shared" si="166"/>
        <v>KYRAN RESEARCH ASSOCIATES INC</v>
      </c>
      <c r="K508" t="str">
        <f t="shared" si="183"/>
        <v>3342737</v>
      </c>
      <c r="L508" s="2" t="str">
        <f>"APA-12853 - 8/30/13-6/30/14 - SQL DATABASE ARCHITECT"</f>
        <v>APA-12853 - 8/30/13-6/30/14 - SQL DATABASE ARCHITECT</v>
      </c>
      <c r="M508" t="str">
        <f t="shared" si="173"/>
        <v>SVALLANT</v>
      </c>
    </row>
    <row r="509" spans="1:13" ht="30" x14ac:dyDescent="0.25">
      <c r="A509" t="str">
        <f t="shared" si="161"/>
        <v>10</v>
      </c>
      <c r="B509" t="str">
        <f t="shared" si="162"/>
        <v>066</v>
      </c>
      <c r="C509" t="str">
        <f t="shared" si="163"/>
        <v>3010106</v>
      </c>
      <c r="D509" t="str">
        <f t="shared" si="164"/>
        <v>03</v>
      </c>
      <c r="E509" t="str">
        <f t="shared" ref="E509:E521" si="184">"632160"</f>
        <v>632160</v>
      </c>
      <c r="F509" t="str">
        <f>"01/31/15"</f>
        <v>01/31/15</v>
      </c>
      <c r="G509" s="8" t="str">
        <f>"12694"</f>
        <v>12694</v>
      </c>
      <c r="H509" s="4">
        <v>4715</v>
      </c>
      <c r="I509" s="3"/>
      <c r="J509" t="str">
        <f t="shared" si="166"/>
        <v>KYRAN RESEARCH ASSOCIATES INC</v>
      </c>
      <c r="K509" t="str">
        <f t="shared" ref="K509:K521" si="185">"3377756"</f>
        <v>3377756</v>
      </c>
      <c r="L509" s="2" t="str">
        <f t="shared" ref="L509:L521" si="186">"APA-13904 - 4/1/14-6/30/15 - TECHNICAL SUPPORT SERVICES FOR PRECIOUS METALS AND PAWNS DATABASE INCLUDING RIAG CMS ENHANCEMENT."</f>
        <v>APA-13904 - 4/1/14-6/30/15 - TECHNICAL SUPPORT SERVICES FOR PRECIOUS METALS AND PAWNS DATABASE INCLUDING RIAG CMS ENHANCEMENT.</v>
      </c>
      <c r="M509" t="str">
        <f>"BOBW@KYR"</f>
        <v>BOBW@KYR</v>
      </c>
    </row>
    <row r="510" spans="1:13" ht="30" x14ac:dyDescent="0.25">
      <c r="A510" t="str">
        <f t="shared" si="161"/>
        <v>10</v>
      </c>
      <c r="B510" t="str">
        <f t="shared" si="162"/>
        <v>066</v>
      </c>
      <c r="C510" t="str">
        <f t="shared" si="163"/>
        <v>3010106</v>
      </c>
      <c r="D510" t="str">
        <f t="shared" si="164"/>
        <v>03</v>
      </c>
      <c r="E510" t="str">
        <f t="shared" si="184"/>
        <v>632160</v>
      </c>
      <c r="F510" t="str">
        <f>"02/28/15"</f>
        <v>02/28/15</v>
      </c>
      <c r="G510" s="8" t="str">
        <f>"12709"</f>
        <v>12709</v>
      </c>
      <c r="H510" s="4">
        <v>50</v>
      </c>
      <c r="I510" s="3"/>
      <c r="J510" t="str">
        <f t="shared" si="166"/>
        <v>KYRAN RESEARCH ASSOCIATES INC</v>
      </c>
      <c r="K510" t="str">
        <f t="shared" si="185"/>
        <v>3377756</v>
      </c>
      <c r="L510" s="2" t="str">
        <f t="shared" si="186"/>
        <v>APA-13904 - 4/1/14-6/30/15 - TECHNICAL SUPPORT SERVICES FOR PRECIOUS METALS AND PAWNS DATABASE INCLUDING RIAG CMS ENHANCEMENT.</v>
      </c>
      <c r="M510" t="str">
        <f>"SVALLANT"</f>
        <v>SVALLANT</v>
      </c>
    </row>
    <row r="511" spans="1:13" ht="30" x14ac:dyDescent="0.25">
      <c r="A511" t="str">
        <f t="shared" si="161"/>
        <v>10</v>
      </c>
      <c r="B511" t="str">
        <f t="shared" si="162"/>
        <v>066</v>
      </c>
      <c r="C511" t="str">
        <f t="shared" si="163"/>
        <v>3010106</v>
      </c>
      <c r="D511" t="str">
        <f t="shared" si="164"/>
        <v>03</v>
      </c>
      <c r="E511" t="str">
        <f t="shared" si="184"/>
        <v>632160</v>
      </c>
      <c r="F511" t="str">
        <f>"02/28/15"</f>
        <v>02/28/15</v>
      </c>
      <c r="G511" s="8" t="str">
        <f>"12709"</f>
        <v>12709</v>
      </c>
      <c r="H511" s="4">
        <v>-50</v>
      </c>
      <c r="I511" s="3"/>
      <c r="J511" t="str">
        <f t="shared" si="166"/>
        <v>KYRAN RESEARCH ASSOCIATES INC</v>
      </c>
      <c r="K511" t="str">
        <f t="shared" si="185"/>
        <v>3377756</v>
      </c>
      <c r="L511" s="2" t="str">
        <f t="shared" si="186"/>
        <v>APA-13904 - 4/1/14-6/30/15 - TECHNICAL SUPPORT SERVICES FOR PRECIOUS METALS AND PAWNS DATABASE INCLUDING RIAG CMS ENHANCEMENT.</v>
      </c>
      <c r="M511" t="str">
        <f>"BOBW@KYR"</f>
        <v>BOBW@KYR</v>
      </c>
    </row>
    <row r="512" spans="1:13" ht="30" x14ac:dyDescent="0.25">
      <c r="A512" t="str">
        <f t="shared" si="161"/>
        <v>10</v>
      </c>
      <c r="B512" t="str">
        <f t="shared" si="162"/>
        <v>066</v>
      </c>
      <c r="C512" t="str">
        <f t="shared" si="163"/>
        <v>3010106</v>
      </c>
      <c r="D512" t="str">
        <f t="shared" si="164"/>
        <v>03</v>
      </c>
      <c r="E512" t="str">
        <f t="shared" si="184"/>
        <v>632160</v>
      </c>
      <c r="F512" t="str">
        <f>"02/28/15"</f>
        <v>02/28/15</v>
      </c>
      <c r="G512" s="8" t="str">
        <f>"12709A"</f>
        <v>12709A</v>
      </c>
      <c r="H512" s="4">
        <v>5750</v>
      </c>
      <c r="I512" s="3"/>
      <c r="J512" t="str">
        <f t="shared" si="166"/>
        <v>KYRAN RESEARCH ASSOCIATES INC</v>
      </c>
      <c r="K512" t="str">
        <f t="shared" si="185"/>
        <v>3377756</v>
      </c>
      <c r="L512" s="2" t="str">
        <f t="shared" si="186"/>
        <v>APA-13904 - 4/1/14-6/30/15 - TECHNICAL SUPPORT SERVICES FOR PRECIOUS METALS AND PAWNS DATABASE INCLUDING RIAG CMS ENHANCEMENT.</v>
      </c>
      <c r="M512" t="str">
        <f>"BOBW@KYR"</f>
        <v>BOBW@KYR</v>
      </c>
    </row>
    <row r="513" spans="1:13" ht="30" x14ac:dyDescent="0.25">
      <c r="A513" t="str">
        <f t="shared" si="161"/>
        <v>10</v>
      </c>
      <c r="B513" t="str">
        <f t="shared" si="162"/>
        <v>066</v>
      </c>
      <c r="C513" t="str">
        <f t="shared" si="163"/>
        <v>3010106</v>
      </c>
      <c r="D513" t="str">
        <f t="shared" si="164"/>
        <v>03</v>
      </c>
      <c r="E513" t="str">
        <f t="shared" si="184"/>
        <v>632160</v>
      </c>
      <c r="F513" t="str">
        <f>"03/31/15"</f>
        <v>03/31/15</v>
      </c>
      <c r="G513" s="8" t="str">
        <f>"12720"</f>
        <v>12720</v>
      </c>
      <c r="H513" s="4">
        <v>4858.75</v>
      </c>
      <c r="I513" s="3"/>
      <c r="J513" t="str">
        <f t="shared" si="166"/>
        <v>KYRAN RESEARCH ASSOCIATES INC</v>
      </c>
      <c r="K513" t="str">
        <f t="shared" si="185"/>
        <v>3377756</v>
      </c>
      <c r="L513" s="2" t="str">
        <f t="shared" si="186"/>
        <v>APA-13904 - 4/1/14-6/30/15 - TECHNICAL SUPPORT SERVICES FOR PRECIOUS METALS AND PAWNS DATABASE INCLUDING RIAG CMS ENHANCEMENT.</v>
      </c>
      <c r="M513" t="str">
        <f>"BOBW@KYR"</f>
        <v>BOBW@KYR</v>
      </c>
    </row>
    <row r="514" spans="1:13" ht="30" x14ac:dyDescent="0.25">
      <c r="A514" t="str">
        <f t="shared" si="161"/>
        <v>10</v>
      </c>
      <c r="B514" t="str">
        <f t="shared" si="162"/>
        <v>066</v>
      </c>
      <c r="C514" t="str">
        <f t="shared" si="163"/>
        <v>3010106</v>
      </c>
      <c r="D514" t="str">
        <f t="shared" si="164"/>
        <v>03</v>
      </c>
      <c r="E514" t="str">
        <f t="shared" si="184"/>
        <v>632160</v>
      </c>
      <c r="F514" t="str">
        <f>"05/31/15"</f>
        <v>05/31/15</v>
      </c>
      <c r="G514" s="8" t="str">
        <f>"12745"</f>
        <v>12745</v>
      </c>
      <c r="H514" s="4">
        <v>805</v>
      </c>
      <c r="I514" s="3"/>
      <c r="J514" t="str">
        <f t="shared" si="166"/>
        <v>KYRAN RESEARCH ASSOCIATES INC</v>
      </c>
      <c r="K514" t="str">
        <f t="shared" si="185"/>
        <v>3377756</v>
      </c>
      <c r="L514" s="2" t="str">
        <f t="shared" si="186"/>
        <v>APA-13904 - 4/1/14-6/30/15 - TECHNICAL SUPPORT SERVICES FOR PRECIOUS METALS AND PAWNS DATABASE INCLUDING RIAG CMS ENHANCEMENT.</v>
      </c>
      <c r="M514" t="str">
        <f t="shared" si="173"/>
        <v>SVALLANT</v>
      </c>
    </row>
    <row r="515" spans="1:13" ht="30" x14ac:dyDescent="0.25">
      <c r="A515" t="str">
        <f t="shared" si="161"/>
        <v>10</v>
      </c>
      <c r="B515" t="str">
        <f t="shared" si="162"/>
        <v>066</v>
      </c>
      <c r="C515" t="str">
        <f t="shared" si="163"/>
        <v>3010106</v>
      </c>
      <c r="D515" t="str">
        <f t="shared" si="164"/>
        <v>03</v>
      </c>
      <c r="E515" t="str">
        <f t="shared" si="184"/>
        <v>632160</v>
      </c>
      <c r="F515" t="str">
        <f>"06/30/15"</f>
        <v>06/30/15</v>
      </c>
      <c r="G515" s="8" t="str">
        <f>"12763"</f>
        <v>12763</v>
      </c>
      <c r="H515" s="4">
        <v>14288.75</v>
      </c>
      <c r="I515" s="3"/>
      <c r="J515" t="str">
        <f t="shared" si="166"/>
        <v>KYRAN RESEARCH ASSOCIATES INC</v>
      </c>
      <c r="K515" t="str">
        <f t="shared" si="185"/>
        <v>3377756</v>
      </c>
      <c r="L515" s="2" t="str">
        <f t="shared" si="186"/>
        <v>APA-13904 - 4/1/14-6/30/15 - TECHNICAL SUPPORT SERVICES FOR PRECIOUS METALS AND PAWNS DATABASE INCLUDING RIAG CMS ENHANCEMENT.</v>
      </c>
      <c r="M515" t="str">
        <f t="shared" si="173"/>
        <v>SVALLANT</v>
      </c>
    </row>
    <row r="516" spans="1:13" ht="30" x14ac:dyDescent="0.25">
      <c r="A516" t="str">
        <f t="shared" si="161"/>
        <v>10</v>
      </c>
      <c r="B516" t="str">
        <f t="shared" si="162"/>
        <v>066</v>
      </c>
      <c r="C516" t="str">
        <f t="shared" si="163"/>
        <v>3010106</v>
      </c>
      <c r="D516" t="str">
        <f t="shared" si="164"/>
        <v>03</v>
      </c>
      <c r="E516" t="str">
        <f t="shared" si="184"/>
        <v>632160</v>
      </c>
      <c r="F516" t="str">
        <f>"08/31/14"</f>
        <v>08/31/14</v>
      </c>
      <c r="G516" s="8" t="str">
        <f>"12624"</f>
        <v>12624</v>
      </c>
      <c r="H516" s="4">
        <v>2098.75</v>
      </c>
      <c r="I516" s="3"/>
      <c r="J516" t="str">
        <f t="shared" si="166"/>
        <v>KYRAN RESEARCH ASSOCIATES INC</v>
      </c>
      <c r="K516" t="str">
        <f t="shared" si="185"/>
        <v>3377756</v>
      </c>
      <c r="L516" s="2" t="str">
        <f t="shared" si="186"/>
        <v>APA-13904 - 4/1/14-6/30/15 - TECHNICAL SUPPORT SERVICES FOR PRECIOUS METALS AND PAWNS DATABASE INCLUDING RIAG CMS ENHANCEMENT.</v>
      </c>
      <c r="M516" t="str">
        <f t="shared" si="173"/>
        <v>SVALLANT</v>
      </c>
    </row>
    <row r="517" spans="1:13" ht="30" x14ac:dyDescent="0.25">
      <c r="A517" t="str">
        <f t="shared" si="161"/>
        <v>10</v>
      </c>
      <c r="B517" t="str">
        <f t="shared" si="162"/>
        <v>066</v>
      </c>
      <c r="C517" t="str">
        <f t="shared" si="163"/>
        <v>3010106</v>
      </c>
      <c r="D517" t="str">
        <f t="shared" si="164"/>
        <v>03</v>
      </c>
      <c r="E517" t="str">
        <f t="shared" si="184"/>
        <v>632160</v>
      </c>
      <c r="F517" t="str">
        <f>"08/31/14"</f>
        <v>08/31/14</v>
      </c>
      <c r="G517" s="8" t="str">
        <f>"12640"</f>
        <v>12640</v>
      </c>
      <c r="H517" s="4">
        <v>3795</v>
      </c>
      <c r="I517" s="3"/>
      <c r="J517" t="str">
        <f t="shared" si="166"/>
        <v>KYRAN RESEARCH ASSOCIATES INC</v>
      </c>
      <c r="K517" t="str">
        <f t="shared" si="185"/>
        <v>3377756</v>
      </c>
      <c r="L517" s="2" t="str">
        <f t="shared" si="186"/>
        <v>APA-13904 - 4/1/14-6/30/15 - TECHNICAL SUPPORT SERVICES FOR PRECIOUS METALS AND PAWNS DATABASE INCLUDING RIAG CMS ENHANCEMENT.</v>
      </c>
      <c r="M517" t="str">
        <f t="shared" si="173"/>
        <v>SVALLANT</v>
      </c>
    </row>
    <row r="518" spans="1:13" ht="30" x14ac:dyDescent="0.25">
      <c r="A518" t="str">
        <f t="shared" si="161"/>
        <v>10</v>
      </c>
      <c r="B518" t="str">
        <f t="shared" si="162"/>
        <v>066</v>
      </c>
      <c r="C518" t="str">
        <f t="shared" si="163"/>
        <v>3010106</v>
      </c>
      <c r="D518" t="str">
        <f t="shared" si="164"/>
        <v>03</v>
      </c>
      <c r="E518" t="str">
        <f t="shared" si="184"/>
        <v>632160</v>
      </c>
      <c r="F518" t="str">
        <f>"09/30/14"</f>
        <v>09/30/14</v>
      </c>
      <c r="G518" s="8" t="str">
        <f>"12608"</f>
        <v>12608</v>
      </c>
      <c r="H518" s="4">
        <v>1380</v>
      </c>
      <c r="I518" s="3"/>
      <c r="J518" t="str">
        <f t="shared" si="166"/>
        <v>KYRAN RESEARCH ASSOCIATES INC</v>
      </c>
      <c r="K518" t="str">
        <f t="shared" si="185"/>
        <v>3377756</v>
      </c>
      <c r="L518" s="2" t="str">
        <f t="shared" si="186"/>
        <v>APA-13904 - 4/1/14-6/30/15 - TECHNICAL SUPPORT SERVICES FOR PRECIOUS METALS AND PAWNS DATABASE INCLUDING RIAG CMS ENHANCEMENT.</v>
      </c>
      <c r="M518" t="str">
        <f t="shared" si="173"/>
        <v>SVALLANT</v>
      </c>
    </row>
    <row r="519" spans="1:13" ht="30" x14ac:dyDescent="0.25">
      <c r="A519" t="str">
        <f t="shared" si="161"/>
        <v>10</v>
      </c>
      <c r="B519" t="str">
        <f t="shared" si="162"/>
        <v>066</v>
      </c>
      <c r="C519" t="str">
        <f t="shared" si="163"/>
        <v>3010106</v>
      </c>
      <c r="D519" t="str">
        <f t="shared" si="164"/>
        <v>03</v>
      </c>
      <c r="E519" t="str">
        <f t="shared" si="184"/>
        <v>632160</v>
      </c>
      <c r="F519" t="str">
        <f>"10/31/14"</f>
        <v>10/31/14</v>
      </c>
      <c r="G519" s="8" t="str">
        <f>"12649"</f>
        <v>12649</v>
      </c>
      <c r="H519" s="4">
        <v>9918.75</v>
      </c>
      <c r="I519" s="3"/>
      <c r="J519" t="str">
        <f t="shared" si="166"/>
        <v>KYRAN RESEARCH ASSOCIATES INC</v>
      </c>
      <c r="K519" t="str">
        <f t="shared" si="185"/>
        <v>3377756</v>
      </c>
      <c r="L519" s="2" t="str">
        <f t="shared" si="186"/>
        <v>APA-13904 - 4/1/14-6/30/15 - TECHNICAL SUPPORT SERVICES FOR PRECIOUS METALS AND PAWNS DATABASE INCLUDING RIAG CMS ENHANCEMENT.</v>
      </c>
      <c r="M519" t="str">
        <f t="shared" si="173"/>
        <v>SVALLANT</v>
      </c>
    </row>
    <row r="520" spans="1:13" ht="30" x14ac:dyDescent="0.25">
      <c r="A520" t="str">
        <f t="shared" si="161"/>
        <v>10</v>
      </c>
      <c r="B520" t="str">
        <f t="shared" si="162"/>
        <v>066</v>
      </c>
      <c r="C520" t="str">
        <f t="shared" si="163"/>
        <v>3010106</v>
      </c>
      <c r="D520" t="str">
        <f t="shared" si="164"/>
        <v>03</v>
      </c>
      <c r="E520" t="str">
        <f t="shared" si="184"/>
        <v>632160</v>
      </c>
      <c r="F520" t="str">
        <f>"10/31/14"</f>
        <v>10/31/14</v>
      </c>
      <c r="G520" s="8" t="str">
        <f>"12661"</f>
        <v>12661</v>
      </c>
      <c r="H520" s="4">
        <v>1782.5</v>
      </c>
      <c r="I520" s="3"/>
      <c r="J520" t="str">
        <f t="shared" si="166"/>
        <v>KYRAN RESEARCH ASSOCIATES INC</v>
      </c>
      <c r="K520" t="str">
        <f t="shared" si="185"/>
        <v>3377756</v>
      </c>
      <c r="L520" s="2" t="str">
        <f t="shared" si="186"/>
        <v>APA-13904 - 4/1/14-6/30/15 - TECHNICAL SUPPORT SERVICES FOR PRECIOUS METALS AND PAWNS DATABASE INCLUDING RIAG CMS ENHANCEMENT.</v>
      </c>
      <c r="M520" t="str">
        <f t="shared" si="173"/>
        <v>SVALLANT</v>
      </c>
    </row>
    <row r="521" spans="1:13" ht="30" x14ac:dyDescent="0.25">
      <c r="A521" t="str">
        <f t="shared" ref="A521:A522" si="187">"10"</f>
        <v>10</v>
      </c>
      <c r="B521" t="str">
        <f t="shared" ref="B521:B522" si="188">"066"</f>
        <v>066</v>
      </c>
      <c r="C521" t="str">
        <f t="shared" ref="C521:C522" si="189">"3010106"</f>
        <v>3010106</v>
      </c>
      <c r="D521" t="str">
        <f t="shared" ref="D521:D522" si="190">"03"</f>
        <v>03</v>
      </c>
      <c r="E521" t="str">
        <f t="shared" si="184"/>
        <v>632160</v>
      </c>
      <c r="F521" t="str">
        <f>"12/31/14"</f>
        <v>12/31/14</v>
      </c>
      <c r="G521" s="8" t="str">
        <f>"12674"</f>
        <v>12674</v>
      </c>
      <c r="H521" s="4">
        <v>1495</v>
      </c>
      <c r="I521" s="3"/>
      <c r="J521" t="str">
        <f t="shared" ref="J521:J522" si="191">"KYRAN RESEARCH ASSOCIATES INC"</f>
        <v>KYRAN RESEARCH ASSOCIATES INC</v>
      </c>
      <c r="K521" t="str">
        <f t="shared" si="185"/>
        <v>3377756</v>
      </c>
      <c r="L521" s="2" t="str">
        <f t="shared" si="186"/>
        <v>APA-13904 - 4/1/14-6/30/15 - TECHNICAL SUPPORT SERVICES FOR PRECIOUS METALS AND PAWNS DATABASE INCLUDING RIAG CMS ENHANCEMENT.</v>
      </c>
      <c r="M521" t="str">
        <f t="shared" si="173"/>
        <v>SVALLANT</v>
      </c>
    </row>
    <row r="522" spans="1:13" ht="30" x14ac:dyDescent="0.25">
      <c r="A522" t="str">
        <f t="shared" si="187"/>
        <v>10</v>
      </c>
      <c r="B522" t="str">
        <f t="shared" si="188"/>
        <v>066</v>
      </c>
      <c r="C522" t="str">
        <f t="shared" si="189"/>
        <v>3010106</v>
      </c>
      <c r="D522" t="str">
        <f t="shared" si="190"/>
        <v>03</v>
      </c>
      <c r="E522" t="str">
        <f>"641300"</f>
        <v>641300</v>
      </c>
      <c r="F522" t="str">
        <f>"06/30/16"</f>
        <v>06/30/16</v>
      </c>
      <c r="G522" s="8" t="str">
        <f>"12880"</f>
        <v>12880</v>
      </c>
      <c r="H522" s="3">
        <v>5577.5</v>
      </c>
      <c r="I522" s="3"/>
      <c r="J522" t="str">
        <f t="shared" si="191"/>
        <v>KYRAN RESEARCH ASSOCIATES INC</v>
      </c>
      <c r="K522" t="str">
        <f>"3433019"</f>
        <v>3433019</v>
      </c>
      <c r="L522" s="2" t="str">
        <f>"7/1/15-6/30/18 - SOFTWARE MAINTENANCE AND  TECHNICAL SUPPORT SERVICES FOR PRECIOUS METALS AND PAWNS DATABASE."</f>
        <v>7/1/15-6/30/18 - SOFTWARE MAINTENANCE AND  TECHNICAL SUPPORT SERVICES FOR PRECIOUS METALS AND PAWNS DATABASE.</v>
      </c>
      <c r="M522" t="str">
        <f>"BOBW@KYR"</f>
        <v>BOBW@KYR</v>
      </c>
    </row>
    <row r="523" spans="1:13" x14ac:dyDescent="0.25">
      <c r="H523" s="6">
        <f>SUM(H484:H522)</f>
        <v>333440</v>
      </c>
      <c r="I523" s="6">
        <f>SUM(H484:H522)</f>
        <v>333440</v>
      </c>
      <c r="L523" s="2"/>
      <c r="M523" t="str">
        <f>"BOBW@KYR"</f>
        <v>BOBW@KYR</v>
      </c>
    </row>
    <row r="524" spans="1:13" x14ac:dyDescent="0.25">
      <c r="H524" s="3"/>
      <c r="I524" s="3"/>
      <c r="L524" s="2"/>
    </row>
    <row r="525" spans="1:13" ht="30" x14ac:dyDescent="0.25">
      <c r="A525" t="str">
        <f>"10"</f>
        <v>10</v>
      </c>
      <c r="B525" t="str">
        <f>"066"</f>
        <v>066</v>
      </c>
      <c r="C525" t="str">
        <f>"3010106"</f>
        <v>3010106</v>
      </c>
      <c r="D525" t="str">
        <f>"03"</f>
        <v>03</v>
      </c>
      <c r="E525" t="str">
        <f>"640100"</f>
        <v>640100</v>
      </c>
      <c r="F525" t="str">
        <f>"08/31/14"</f>
        <v>08/31/14</v>
      </c>
      <c r="G525" t="str">
        <f>"2347031"</f>
        <v>2347031</v>
      </c>
      <c r="H525" s="3">
        <v>99.98</v>
      </c>
      <c r="I525" s="3"/>
      <c r="J525" t="str">
        <f>"L SWEET LUMBER CO INC"</f>
        <v>L SWEET LUMBER CO INC</v>
      </c>
      <c r="K525" t="str">
        <f>"3314136"</f>
        <v>3314136</v>
      </c>
      <c r="L525" s="2" t="str">
        <f>"MPA-152 - 3/1/13-2/28/15 - PERCENTAGE OFF CURRENT LIST PRICE CATALOGUE FOR ALL OTHER NON-CORE CONSTRUCTION ITEMS - 10%"</f>
        <v>MPA-152 - 3/1/13-2/28/15 - PERCENTAGE OFF CURRENT LIST PRICE CATALOGUE FOR ALL OTHER NON-CORE CONSTRUCTION ITEMS - 10%</v>
      </c>
    </row>
    <row r="526" spans="1:13" ht="30" x14ac:dyDescent="0.25">
      <c r="A526" t="str">
        <f>"10"</f>
        <v>10</v>
      </c>
      <c r="B526" t="str">
        <f>"066"</f>
        <v>066</v>
      </c>
      <c r="C526" t="str">
        <f>"3010106"</f>
        <v>3010106</v>
      </c>
      <c r="D526" t="str">
        <f>"03"</f>
        <v>03</v>
      </c>
      <c r="E526" t="str">
        <f>"640100"</f>
        <v>640100</v>
      </c>
      <c r="F526" t="str">
        <f>"08/31/14"</f>
        <v>08/31/14</v>
      </c>
      <c r="G526" t="str">
        <f>"2347089"</f>
        <v>2347089</v>
      </c>
      <c r="H526" s="3">
        <v>5.52</v>
      </c>
      <c r="I526" s="3"/>
      <c r="J526" t="str">
        <f>"L SWEET LUMBER CO INC"</f>
        <v>L SWEET LUMBER CO INC</v>
      </c>
      <c r="K526" t="str">
        <f>"3314136"</f>
        <v>3314136</v>
      </c>
      <c r="L526" s="2" t="str">
        <f>"MPA-152 - 3/1/13-2/28/15 - PERCENTAGE OFF CURRENT LIST PRICE CATALOGUE FOR ALL OTHER NON-CORE CONSTRUCTION ITEMS - 10%"</f>
        <v>MPA-152 - 3/1/13-2/28/15 - PERCENTAGE OFF CURRENT LIST PRICE CATALOGUE FOR ALL OTHER NON-CORE CONSTRUCTION ITEMS - 10%</v>
      </c>
      <c r="M526" t="str">
        <f>"SVALLANT"</f>
        <v>SVALLANT</v>
      </c>
    </row>
    <row r="527" spans="1:13" x14ac:dyDescent="0.25">
      <c r="H527" s="6">
        <f>SUM(H525:H526)</f>
        <v>105.5</v>
      </c>
      <c r="I527" s="6">
        <f>SUM(H525:H526)</f>
        <v>105.5</v>
      </c>
      <c r="L527" s="2"/>
      <c r="M527" t="str">
        <f>"SVALLANT"</f>
        <v>SVALLANT</v>
      </c>
    </row>
    <row r="528" spans="1:13" x14ac:dyDescent="0.25">
      <c r="H528" s="3"/>
      <c r="I528" s="3"/>
      <c r="L528" s="2"/>
    </row>
    <row r="529" spans="1:13" x14ac:dyDescent="0.25">
      <c r="A529" t="str">
        <f>"10"</f>
        <v>10</v>
      </c>
      <c r="B529" t="str">
        <f>"066"</f>
        <v>066</v>
      </c>
      <c r="C529" t="str">
        <f>"3010106"</f>
        <v>3010106</v>
      </c>
      <c r="D529" t="str">
        <f>"03"</f>
        <v>03</v>
      </c>
      <c r="E529" t="str">
        <f>"643710"</f>
        <v>643710</v>
      </c>
      <c r="F529" t="str">
        <f>"01/31/16"</f>
        <v>01/31/16</v>
      </c>
      <c r="G529" t="str">
        <f>"16066MEF0348"</f>
        <v>16066MEF0348</v>
      </c>
      <c r="H529" s="6">
        <v>5300</v>
      </c>
      <c r="I529" s="6">
        <f>SUM(H529)</f>
        <v>5300</v>
      </c>
      <c r="J529" t="str">
        <f>"LEADERSHIP RHODE ISLAND"</f>
        <v>LEADERSHIP RHODE ISLAND</v>
      </c>
      <c r="K529" t="str">
        <f>"3450856"</f>
        <v>3450856</v>
      </c>
      <c r="L529" s="2" t="str">
        <f>"COURSE FEE FOR LEADERSHIP RHODE ISLAND"</f>
        <v>COURSE FEE FOR LEADERSHIP RHODE ISLAND</v>
      </c>
    </row>
    <row r="530" spans="1:13" x14ac:dyDescent="0.25">
      <c r="H530" s="6"/>
      <c r="I530" s="6"/>
      <c r="L530" s="2"/>
      <c r="M530" t="str">
        <f>"MFUSCO"</f>
        <v>MFUSCO</v>
      </c>
    </row>
    <row r="531" spans="1:13" ht="45" x14ac:dyDescent="0.25">
      <c r="A531" t="str">
        <f t="shared" ref="A531:A562" si="192">"10"</f>
        <v>10</v>
      </c>
      <c r="B531" t="str">
        <f t="shared" ref="B531:B562" si="193">"066"</f>
        <v>066</v>
      </c>
      <c r="C531" t="str">
        <f t="shared" ref="C531:C562" si="194">"3010106"</f>
        <v>3010106</v>
      </c>
      <c r="D531" t="str">
        <f t="shared" ref="D531:D562" si="195">"03"</f>
        <v>03</v>
      </c>
      <c r="E531" t="str">
        <f t="shared" ref="E531:E558" si="196">"640100"</f>
        <v>640100</v>
      </c>
      <c r="F531" t="str">
        <f>"01/31/16"</f>
        <v>01/31/16</v>
      </c>
      <c r="G531" t="str">
        <f>"61315"</f>
        <v>61315</v>
      </c>
      <c r="H531" s="3">
        <v>1294.2</v>
      </c>
      <c r="I531" s="3"/>
      <c r="J531" t="str">
        <f t="shared" ref="J531:J562" si="197">"LEGACY GENERAL CONTRACTING INC"</f>
        <v>LEGACY GENERAL CONTRACTING INC</v>
      </c>
      <c r="K531" t="str">
        <f>"3438725"</f>
        <v>3438725</v>
      </c>
      <c r="L531" s="2" t="str">
        <f>"MPA-52 10/1/15 - 9/30/16 - MATERIALS/PARTS:  THE OWNER SHALL BE ENTITILED TO ANY AND ALL MATERIAL OR TRADE DISCOUNTS OFF LIST PRICES THAT THE VENDOR RECEIVES.  MATERIAL QUOTES AND INVOICE SH"</f>
        <v>MPA-52 10/1/15 - 9/30/16 - MATERIALS/PARTS:  THE OWNER SHALL BE ENTITILED TO ANY AND ALL MATERIAL OR TRADE DISCOUNTS OFF LIST PRICES THAT THE VENDOR RECEIVES.  MATERIAL QUOTES AND INVOICE SH</v>
      </c>
    </row>
    <row r="532" spans="1:13" x14ac:dyDescent="0.25">
      <c r="A532" t="str">
        <f t="shared" si="192"/>
        <v>10</v>
      </c>
      <c r="B532" t="str">
        <f t="shared" si="193"/>
        <v>066</v>
      </c>
      <c r="C532" t="str">
        <f t="shared" si="194"/>
        <v>3010106</v>
      </c>
      <c r="D532" t="str">
        <f t="shared" si="195"/>
        <v>03</v>
      </c>
      <c r="E532" t="str">
        <f t="shared" si="196"/>
        <v>640100</v>
      </c>
      <c r="F532" t="str">
        <f>"01/31/16"</f>
        <v>01/31/16</v>
      </c>
      <c r="G532" t="str">
        <f>"61315"</f>
        <v>61315</v>
      </c>
      <c r="H532" s="3">
        <v>2846.88</v>
      </c>
      <c r="I532" s="3"/>
      <c r="J532" t="str">
        <f t="shared" si="197"/>
        <v>LEGACY GENERAL CONTRACTING INC</v>
      </c>
      <c r="K532" t="str">
        <f>"3438725"</f>
        <v>3438725</v>
      </c>
      <c r="L532" s="2" t="str">
        <f>"MPA-52 10/1/15 - 9/30/16 CARPENTER REGULAR HOURLY RATE"</f>
        <v>MPA-52 10/1/15 - 9/30/16 CARPENTER REGULAR HOURLY RATE</v>
      </c>
      <c r="M532" t="str">
        <f>"SVALLANT"</f>
        <v>SVALLANT</v>
      </c>
    </row>
    <row r="533" spans="1:13" ht="45" x14ac:dyDescent="0.25">
      <c r="A533" t="str">
        <f t="shared" si="192"/>
        <v>10</v>
      </c>
      <c r="B533" t="str">
        <f t="shared" si="193"/>
        <v>066</v>
      </c>
      <c r="C533" t="str">
        <f t="shared" si="194"/>
        <v>3010106</v>
      </c>
      <c r="D533" t="str">
        <f t="shared" si="195"/>
        <v>03</v>
      </c>
      <c r="E533" t="str">
        <f t="shared" si="196"/>
        <v>640100</v>
      </c>
      <c r="F533" t="str">
        <f>"02/28/15"</f>
        <v>02/28/15</v>
      </c>
      <c r="G533" t="str">
        <f>"49815"</f>
        <v>49815</v>
      </c>
      <c r="H533" s="3">
        <v>924</v>
      </c>
      <c r="I533" s="3"/>
      <c r="J533" t="str">
        <f t="shared" si="197"/>
        <v>LEGACY GENERAL CONTRACTING INC</v>
      </c>
      <c r="K533" t="str">
        <f>"3250039"</f>
        <v>3250039</v>
      </c>
      <c r="L533" s="2" t="str">
        <f>"MPA-52 10/1/11 - 12/31/14 MATERIAL COST PLUS FOLLOWING:  $0-500 - NO FEE, $501-700- $75.00, $701-1,000 - $96.00, $1,001-1,500 - $125.00, $1,501-2,500 - $180.00, $2,501-5,000 - $300.00, $5,00"</f>
        <v>MPA-52 10/1/11 - 12/31/14 MATERIAL COST PLUS FOLLOWING:  $0-500 - NO FEE, $501-700- $75.00, $701-1,000 - $96.00, $1,001-1,500 - $125.00, $1,501-2,500 - $180.00, $2,501-5,000 - $300.00, $5,00</v>
      </c>
      <c r="M533" t="str">
        <f>"SVALLANT"</f>
        <v>SVALLANT</v>
      </c>
    </row>
    <row r="534" spans="1:13" x14ac:dyDescent="0.25">
      <c r="A534" t="str">
        <f t="shared" si="192"/>
        <v>10</v>
      </c>
      <c r="B534" t="str">
        <f t="shared" si="193"/>
        <v>066</v>
      </c>
      <c r="C534" t="str">
        <f t="shared" si="194"/>
        <v>3010106</v>
      </c>
      <c r="D534" t="str">
        <f t="shared" si="195"/>
        <v>03</v>
      </c>
      <c r="E534" t="str">
        <f t="shared" si="196"/>
        <v>640100</v>
      </c>
      <c r="F534" t="str">
        <f>"02/28/15"</f>
        <v>02/28/15</v>
      </c>
      <c r="G534" t="str">
        <f>"49815"</f>
        <v>49815</v>
      </c>
      <c r="H534" s="3">
        <v>756</v>
      </c>
      <c r="I534" s="3"/>
      <c r="J534" t="str">
        <f t="shared" si="197"/>
        <v>LEGACY GENERAL CONTRACTING INC</v>
      </c>
      <c r="K534" t="str">
        <f>"3250039"</f>
        <v>3250039</v>
      </c>
      <c r="L534" s="2" t="str">
        <f>"MPA-52 7/1/12 - 12/31/14 Carpentry"</f>
        <v>MPA-52 7/1/12 - 12/31/14 Carpentry</v>
      </c>
      <c r="M534" t="str">
        <f>"MFUSCO"</f>
        <v>MFUSCO</v>
      </c>
    </row>
    <row r="535" spans="1:13" ht="45" x14ac:dyDescent="0.25">
      <c r="A535" t="str">
        <f t="shared" si="192"/>
        <v>10</v>
      </c>
      <c r="B535" t="str">
        <f t="shared" si="193"/>
        <v>066</v>
      </c>
      <c r="C535" t="str">
        <f t="shared" si="194"/>
        <v>3010106</v>
      </c>
      <c r="D535" t="str">
        <f t="shared" si="195"/>
        <v>03</v>
      </c>
      <c r="E535" t="str">
        <f t="shared" si="196"/>
        <v>640100</v>
      </c>
      <c r="F535" t="str">
        <f t="shared" ref="F535:F540" si="198">"02/29/16"</f>
        <v>02/29/16</v>
      </c>
      <c r="G535" t="str">
        <f>"66116"</f>
        <v>66116</v>
      </c>
      <c r="H535" s="3">
        <v>311.86</v>
      </c>
      <c r="I535" s="3"/>
      <c r="J535" t="str">
        <f t="shared" si="197"/>
        <v>LEGACY GENERAL CONTRACTING INC</v>
      </c>
      <c r="K535" t="str">
        <f t="shared" ref="K535:K540" si="199">"3438725"</f>
        <v>3438725</v>
      </c>
      <c r="L535" s="2" t="str">
        <f>"MPA-52 10/1/15 - 9/30/16 - MATERIALS/PARTS:  THE OWNER SHALL BE ENTITILED TO ANY AND ALL MATERIAL OR TRADE DISCOUNTS OFF LIST PRICES THAT THE VENDOR RECEIVES.  MATERIAL QUOTES AND INVOICE SH"</f>
        <v>MPA-52 10/1/15 - 9/30/16 - MATERIALS/PARTS:  THE OWNER SHALL BE ENTITILED TO ANY AND ALL MATERIAL OR TRADE DISCOUNTS OFF LIST PRICES THAT THE VENDOR RECEIVES.  MATERIAL QUOTES AND INVOICE SH</v>
      </c>
      <c r="M535" t="str">
        <f>"MFUSCO"</f>
        <v>MFUSCO</v>
      </c>
    </row>
    <row r="536" spans="1:13" x14ac:dyDescent="0.25">
      <c r="A536" t="str">
        <f t="shared" si="192"/>
        <v>10</v>
      </c>
      <c r="B536" t="str">
        <f t="shared" si="193"/>
        <v>066</v>
      </c>
      <c r="C536" t="str">
        <f t="shared" si="194"/>
        <v>3010106</v>
      </c>
      <c r="D536" t="str">
        <f t="shared" si="195"/>
        <v>03</v>
      </c>
      <c r="E536" t="str">
        <f t="shared" si="196"/>
        <v>640100</v>
      </c>
      <c r="F536" t="str">
        <f t="shared" si="198"/>
        <v>02/29/16</v>
      </c>
      <c r="G536" t="str">
        <f>"66116"</f>
        <v>66116</v>
      </c>
      <c r="H536" s="3">
        <v>533.79</v>
      </c>
      <c r="I536" s="3"/>
      <c r="J536" t="str">
        <f t="shared" si="197"/>
        <v>LEGACY GENERAL CONTRACTING INC</v>
      </c>
      <c r="K536" t="str">
        <f t="shared" si="199"/>
        <v>3438725</v>
      </c>
      <c r="L536" s="2" t="str">
        <f>"MPA-52 10/1/15 - 9/30/16 CARPENTER REGULAR HOURLY RATE"</f>
        <v>MPA-52 10/1/15 - 9/30/16 CARPENTER REGULAR HOURLY RATE</v>
      </c>
      <c r="M536" t="str">
        <f t="shared" ref="M536:M563" si="200">"SVALLANT"</f>
        <v>SVALLANT</v>
      </c>
    </row>
    <row r="537" spans="1:13" x14ac:dyDescent="0.25">
      <c r="A537" t="str">
        <f t="shared" si="192"/>
        <v>10</v>
      </c>
      <c r="B537" t="str">
        <f t="shared" si="193"/>
        <v>066</v>
      </c>
      <c r="C537" t="str">
        <f t="shared" si="194"/>
        <v>3010106</v>
      </c>
      <c r="D537" t="str">
        <f t="shared" si="195"/>
        <v>03</v>
      </c>
      <c r="E537" t="str">
        <f t="shared" si="196"/>
        <v>640100</v>
      </c>
      <c r="F537" t="str">
        <f t="shared" si="198"/>
        <v>02/29/16</v>
      </c>
      <c r="G537" t="str">
        <f>"66116"</f>
        <v>66116</v>
      </c>
      <c r="H537" s="3">
        <v>254.35</v>
      </c>
      <c r="I537" s="3"/>
      <c r="J537" t="str">
        <f t="shared" si="197"/>
        <v>LEGACY GENERAL CONTRACTING INC</v>
      </c>
      <c r="K537" t="str">
        <f t="shared" si="199"/>
        <v>3438725</v>
      </c>
      <c r="L537" s="2" t="str">
        <f>"MPA-52 10/1/15 - 9/30/16 PAINTER REGULAR HOURLY RATE"</f>
        <v>MPA-52 10/1/15 - 9/30/16 PAINTER REGULAR HOURLY RATE</v>
      </c>
      <c r="M537" t="str">
        <f t="shared" si="200"/>
        <v>SVALLANT</v>
      </c>
    </row>
    <row r="538" spans="1:13" x14ac:dyDescent="0.25">
      <c r="A538" t="str">
        <f t="shared" si="192"/>
        <v>10</v>
      </c>
      <c r="B538" t="str">
        <f t="shared" si="193"/>
        <v>066</v>
      </c>
      <c r="C538" t="str">
        <f t="shared" si="194"/>
        <v>3010106</v>
      </c>
      <c r="D538" t="str">
        <f t="shared" si="195"/>
        <v>03</v>
      </c>
      <c r="E538" t="str">
        <f t="shared" si="196"/>
        <v>640100</v>
      </c>
      <c r="F538" t="str">
        <f t="shared" si="198"/>
        <v>02/29/16</v>
      </c>
      <c r="G538" t="str">
        <f>"66216"</f>
        <v>66216</v>
      </c>
      <c r="H538" s="3">
        <v>355.86</v>
      </c>
      <c r="I538" s="3"/>
      <c r="J538" t="str">
        <f t="shared" si="197"/>
        <v>LEGACY GENERAL CONTRACTING INC</v>
      </c>
      <c r="K538" t="str">
        <f t="shared" si="199"/>
        <v>3438725</v>
      </c>
      <c r="L538" s="2" t="str">
        <f>"MPA-52 10/1/15 - 9/30/16 CARPENTER REGULAR HOURLY RATE"</f>
        <v>MPA-52 10/1/15 - 9/30/16 CARPENTER REGULAR HOURLY RATE</v>
      </c>
      <c r="M538" t="str">
        <f t="shared" si="200"/>
        <v>SVALLANT</v>
      </c>
    </row>
    <row r="539" spans="1:13" x14ac:dyDescent="0.25">
      <c r="A539" t="str">
        <f t="shared" si="192"/>
        <v>10</v>
      </c>
      <c r="B539" t="str">
        <f t="shared" si="193"/>
        <v>066</v>
      </c>
      <c r="C539" t="str">
        <f t="shared" si="194"/>
        <v>3010106</v>
      </c>
      <c r="D539" t="str">
        <f t="shared" si="195"/>
        <v>03</v>
      </c>
      <c r="E539" t="str">
        <f t="shared" si="196"/>
        <v>640100</v>
      </c>
      <c r="F539" t="str">
        <f t="shared" si="198"/>
        <v>02/29/16</v>
      </c>
      <c r="G539" t="str">
        <f>"66216"</f>
        <v>66216</v>
      </c>
      <c r="H539" s="3">
        <v>203.48</v>
      </c>
      <c r="I539" s="3"/>
      <c r="J539" t="str">
        <f t="shared" si="197"/>
        <v>LEGACY GENERAL CONTRACTING INC</v>
      </c>
      <c r="K539" t="str">
        <f t="shared" si="199"/>
        <v>3438725</v>
      </c>
      <c r="L539" s="2" t="str">
        <f>"MPA-52 10/1/15 - 9/30/16 PAINTER REGULAR HOURLY RATE"</f>
        <v>MPA-52 10/1/15 - 9/30/16 PAINTER REGULAR HOURLY RATE</v>
      </c>
      <c r="M539" t="str">
        <f t="shared" si="200"/>
        <v>SVALLANT</v>
      </c>
    </row>
    <row r="540" spans="1:13" ht="45" x14ac:dyDescent="0.25">
      <c r="A540" t="str">
        <f t="shared" si="192"/>
        <v>10</v>
      </c>
      <c r="B540" t="str">
        <f t="shared" si="193"/>
        <v>066</v>
      </c>
      <c r="C540" t="str">
        <f t="shared" si="194"/>
        <v>3010106</v>
      </c>
      <c r="D540" t="str">
        <f t="shared" si="195"/>
        <v>03</v>
      </c>
      <c r="E540" t="str">
        <f t="shared" si="196"/>
        <v>640100</v>
      </c>
      <c r="F540" t="str">
        <f t="shared" si="198"/>
        <v>02/29/16</v>
      </c>
      <c r="G540" t="str">
        <f>"66216"</f>
        <v>66216</v>
      </c>
      <c r="H540" s="3">
        <v>172.49</v>
      </c>
      <c r="I540" s="3"/>
      <c r="J540" t="str">
        <f t="shared" si="197"/>
        <v>LEGACY GENERAL CONTRACTING INC</v>
      </c>
      <c r="K540" t="str">
        <f t="shared" si="199"/>
        <v>3438725</v>
      </c>
      <c r="L540" s="2" t="str">
        <f>"MPA-52 10/1/15 - 9/30/16 - MATERIALS/PARTS:  THE OWNER SHALL BE ENTITILED TO ANY AND ALL MATERIAL OR TRADE DISCOUNTS OFF LIST PRICES THAT THE VENDOR RECEIVES.  MATERIAL QUOTES AND INVOICE SH"</f>
        <v>MPA-52 10/1/15 - 9/30/16 - MATERIALS/PARTS:  THE OWNER SHALL BE ENTITILED TO ANY AND ALL MATERIAL OR TRADE DISCOUNTS OFF LIST PRICES THAT THE VENDOR RECEIVES.  MATERIAL QUOTES AND INVOICE SH</v>
      </c>
      <c r="M540" t="str">
        <f t="shared" si="200"/>
        <v>SVALLANT</v>
      </c>
    </row>
    <row r="541" spans="1:13" x14ac:dyDescent="0.25">
      <c r="A541" t="str">
        <f t="shared" si="192"/>
        <v>10</v>
      </c>
      <c r="B541" t="str">
        <f t="shared" si="193"/>
        <v>066</v>
      </c>
      <c r="C541" t="str">
        <f t="shared" si="194"/>
        <v>3010106</v>
      </c>
      <c r="D541" t="str">
        <f t="shared" si="195"/>
        <v>03</v>
      </c>
      <c r="E541" t="str">
        <f t="shared" si="196"/>
        <v>640100</v>
      </c>
      <c r="F541" t="str">
        <f>"03/31/15"</f>
        <v>03/31/15</v>
      </c>
      <c r="G541" t="str">
        <f>"50715"</f>
        <v>50715</v>
      </c>
      <c r="H541" s="3">
        <v>500</v>
      </c>
      <c r="I541" s="3"/>
      <c r="J541" t="str">
        <f t="shared" si="197"/>
        <v>LEGACY GENERAL CONTRACTING INC</v>
      </c>
      <c r="K541" t="str">
        <f>"3250039"</f>
        <v>3250039</v>
      </c>
      <c r="L541" s="2" t="str">
        <f>"MPA-52  7/1/12-3/31/15 - Laborer"</f>
        <v>MPA-52  7/1/12-3/31/15 - Laborer</v>
      </c>
      <c r="M541" t="str">
        <f t="shared" si="200"/>
        <v>SVALLANT</v>
      </c>
    </row>
    <row r="542" spans="1:13" ht="30" x14ac:dyDescent="0.25">
      <c r="A542" t="str">
        <f t="shared" si="192"/>
        <v>10</v>
      </c>
      <c r="B542" t="str">
        <f t="shared" si="193"/>
        <v>066</v>
      </c>
      <c r="C542" t="str">
        <f t="shared" si="194"/>
        <v>3010106</v>
      </c>
      <c r="D542" t="str">
        <f t="shared" si="195"/>
        <v>03</v>
      </c>
      <c r="E542" t="str">
        <f t="shared" si="196"/>
        <v>640100</v>
      </c>
      <c r="F542" t="str">
        <f>"04/30/17"</f>
        <v>04/30/17</v>
      </c>
      <c r="G542" t="str">
        <f>"87117"</f>
        <v>87117</v>
      </c>
      <c r="H542" s="3">
        <v>514.38</v>
      </c>
      <c r="I542" s="3"/>
      <c r="J542" t="str">
        <f t="shared" si="197"/>
        <v>LEGACY GENERAL CONTRACTING INC</v>
      </c>
      <c r="K542" t="str">
        <f>"3491019"</f>
        <v>3491019</v>
      </c>
      <c r="L542" s="2" t="str">
        <f>"MPA-52 11/1/16 - 10/31/17 PERCENT DISCOUNT OFF MANUFACTURER'S LIST PRICE FOR MATERIALS PURCHASED ZERO (0)"</f>
        <v>MPA-52 11/1/16 - 10/31/17 PERCENT DISCOUNT OFF MANUFACTURER'S LIST PRICE FOR MATERIALS PURCHASED ZERO (0)</v>
      </c>
      <c r="M542" t="str">
        <f t="shared" si="200"/>
        <v>SVALLANT</v>
      </c>
    </row>
    <row r="543" spans="1:13" x14ac:dyDescent="0.25">
      <c r="A543" t="str">
        <f t="shared" si="192"/>
        <v>10</v>
      </c>
      <c r="B543" t="str">
        <f t="shared" si="193"/>
        <v>066</v>
      </c>
      <c r="C543" t="str">
        <f t="shared" si="194"/>
        <v>3010106</v>
      </c>
      <c r="D543" t="str">
        <f t="shared" si="195"/>
        <v>03</v>
      </c>
      <c r="E543" t="str">
        <f t="shared" si="196"/>
        <v>640100</v>
      </c>
      <c r="F543" t="str">
        <f>"04/30/17"</f>
        <v>04/30/17</v>
      </c>
      <c r="G543" t="str">
        <f>"87117"</f>
        <v>87117</v>
      </c>
      <c r="H543" s="3">
        <v>3098.76</v>
      </c>
      <c r="I543" s="3"/>
      <c r="J543" t="str">
        <f t="shared" si="197"/>
        <v>LEGACY GENERAL CONTRACTING INC</v>
      </c>
      <c r="K543" t="str">
        <f>"3491019"</f>
        <v>3491019</v>
      </c>
      <c r="L543" s="2" t="str">
        <f>"MPA-52 11/1/16 - 10/31/17 CARPENTER REGULAR HOURLY RATE"</f>
        <v>MPA-52 11/1/16 - 10/31/17 CARPENTER REGULAR HOURLY RATE</v>
      </c>
      <c r="M543" t="str">
        <f t="shared" si="200"/>
        <v>SVALLANT</v>
      </c>
    </row>
    <row r="544" spans="1:13" ht="45" x14ac:dyDescent="0.25">
      <c r="A544" t="str">
        <f t="shared" si="192"/>
        <v>10</v>
      </c>
      <c r="B544" t="str">
        <f t="shared" si="193"/>
        <v>066</v>
      </c>
      <c r="C544" t="str">
        <f t="shared" si="194"/>
        <v>3010106</v>
      </c>
      <c r="D544" t="str">
        <f t="shared" si="195"/>
        <v>03</v>
      </c>
      <c r="E544" t="str">
        <f t="shared" si="196"/>
        <v>640100</v>
      </c>
      <c r="F544" t="str">
        <f>"09/30/14"</f>
        <v>09/30/14</v>
      </c>
      <c r="G544" t="str">
        <f>"31814"</f>
        <v>31814</v>
      </c>
      <c r="H544" s="3">
        <v>5935</v>
      </c>
      <c r="I544" s="3"/>
      <c r="J544" t="str">
        <f t="shared" si="197"/>
        <v>LEGACY GENERAL CONTRACTING INC</v>
      </c>
      <c r="K544" t="str">
        <f>"3250039"</f>
        <v>3250039</v>
      </c>
      <c r="L544" s="2" t="str">
        <f>"MPA-52 10/1/11 - 7/31/14 MATERIAL COST PLUS FOLLOWING:  $0-500 - NO FEE, $501-700- $75.00, $701-1,000 - $96.00, $1,001-1,500 - $125.00, $1,501-2,500 - $180.00, $2,501-5,000 - $300.00, $5,001"</f>
        <v>MPA-52 10/1/11 - 7/31/14 MATERIAL COST PLUS FOLLOWING:  $0-500 - NO FEE, $501-700- $75.00, $701-1,000 - $96.00, $1,001-1,500 - $125.00, $1,501-2,500 - $180.00, $2,501-5,000 - $300.00, $5,001</v>
      </c>
      <c r="M544" t="str">
        <f t="shared" si="200"/>
        <v>SVALLANT</v>
      </c>
    </row>
    <row r="545" spans="1:13" x14ac:dyDescent="0.25">
      <c r="A545" t="str">
        <f t="shared" si="192"/>
        <v>10</v>
      </c>
      <c r="B545" t="str">
        <f t="shared" si="193"/>
        <v>066</v>
      </c>
      <c r="C545" t="str">
        <f t="shared" si="194"/>
        <v>3010106</v>
      </c>
      <c r="D545" t="str">
        <f t="shared" si="195"/>
        <v>03</v>
      </c>
      <c r="E545" t="str">
        <f t="shared" si="196"/>
        <v>640100</v>
      </c>
      <c r="F545" t="str">
        <f>"09/30/14"</f>
        <v>09/30/14</v>
      </c>
      <c r="G545" t="str">
        <f>"31814"</f>
        <v>31814</v>
      </c>
      <c r="H545" s="3">
        <v>1512</v>
      </c>
      <c r="I545" s="3"/>
      <c r="J545" t="str">
        <f t="shared" si="197"/>
        <v>LEGACY GENERAL CONTRACTING INC</v>
      </c>
      <c r="K545" t="str">
        <f>"3250039"</f>
        <v>3250039</v>
      </c>
      <c r="L545" s="2" t="str">
        <f>"MPA-52 7/1/12 - 7/31/14 Carpentry"</f>
        <v>MPA-52 7/1/12 - 7/31/14 Carpentry</v>
      </c>
      <c r="M545" t="str">
        <f t="shared" si="200"/>
        <v>SVALLANT</v>
      </c>
    </row>
    <row r="546" spans="1:13" x14ac:dyDescent="0.25">
      <c r="A546" t="str">
        <f t="shared" si="192"/>
        <v>10</v>
      </c>
      <c r="B546" t="str">
        <f t="shared" si="193"/>
        <v>066</v>
      </c>
      <c r="C546" t="str">
        <f t="shared" si="194"/>
        <v>3010106</v>
      </c>
      <c r="D546" t="str">
        <f t="shared" si="195"/>
        <v>03</v>
      </c>
      <c r="E546" t="str">
        <f t="shared" si="196"/>
        <v>640100</v>
      </c>
      <c r="F546" t="str">
        <f>"09/30/15"</f>
        <v>09/30/15</v>
      </c>
      <c r="G546" t="str">
        <f>"56615"</f>
        <v>56615</v>
      </c>
      <c r="H546" s="3">
        <v>1674</v>
      </c>
      <c r="I546" s="3"/>
      <c r="J546" t="str">
        <f t="shared" si="197"/>
        <v>LEGACY GENERAL CONTRACTING INC</v>
      </c>
      <c r="K546" t="str">
        <f>"3250039"</f>
        <v>3250039</v>
      </c>
      <c r="L546" s="2" t="str">
        <f>"MPA-52  7/1/12-6/30/15 - Carpentry"</f>
        <v>MPA-52  7/1/12-6/30/15 - Carpentry</v>
      </c>
      <c r="M546" t="str">
        <f t="shared" si="200"/>
        <v>SVALLANT</v>
      </c>
    </row>
    <row r="547" spans="1:13" ht="45" x14ac:dyDescent="0.25">
      <c r="A547" t="str">
        <f t="shared" si="192"/>
        <v>10</v>
      </c>
      <c r="B547" t="str">
        <f t="shared" si="193"/>
        <v>066</v>
      </c>
      <c r="C547" t="str">
        <f t="shared" si="194"/>
        <v>3010106</v>
      </c>
      <c r="D547" t="str">
        <f t="shared" si="195"/>
        <v>03</v>
      </c>
      <c r="E547" t="str">
        <f t="shared" si="196"/>
        <v>640100</v>
      </c>
      <c r="F547" t="str">
        <f>"09/30/15"</f>
        <v>09/30/15</v>
      </c>
      <c r="G547" t="str">
        <f>"56615"</f>
        <v>56615</v>
      </c>
      <c r="H547" s="3">
        <v>810.75</v>
      </c>
      <c r="I547" s="3"/>
      <c r="J547" t="str">
        <f t="shared" si="197"/>
        <v>LEGACY GENERAL CONTRACTING INC</v>
      </c>
      <c r="K547" t="str">
        <f>"3250039"</f>
        <v>3250039</v>
      </c>
      <c r="L547" s="2" t="str">
        <f>"MPA-52  FY16 - MATERIAL COST PLUS FOLLOWING:  $0-500 - NO FEE, $501-700- $75.00, $701-1,000 - $96.00, $1,001-1,500 - $125.00, $1,501-2,500 - $180.00, $2,501-5,000 - $300.00, $5,001-7,500 - $"</f>
        <v>MPA-52  FY16 - MATERIAL COST PLUS FOLLOWING:  $0-500 - NO FEE, $501-700- $75.00, $701-1,000 - $96.00, $1,001-1,500 - $125.00, $1,501-2,500 - $180.00, $2,501-5,000 - $300.00, $5,001-7,500 - $</v>
      </c>
      <c r="M547" t="str">
        <f t="shared" si="200"/>
        <v>SVALLANT</v>
      </c>
    </row>
    <row r="548" spans="1:13" ht="45" x14ac:dyDescent="0.25">
      <c r="A548" t="str">
        <f t="shared" si="192"/>
        <v>10</v>
      </c>
      <c r="B548" t="str">
        <f t="shared" si="193"/>
        <v>066</v>
      </c>
      <c r="C548" t="str">
        <f t="shared" si="194"/>
        <v>3010106</v>
      </c>
      <c r="D548" t="str">
        <f t="shared" si="195"/>
        <v>03</v>
      </c>
      <c r="E548" t="str">
        <f t="shared" si="196"/>
        <v>640100</v>
      </c>
      <c r="F548" t="str">
        <f>"09/30/16"</f>
        <v>09/30/16</v>
      </c>
      <c r="G548" t="str">
        <f>"74816"</f>
        <v>74816</v>
      </c>
      <c r="H548" s="3">
        <v>369.34</v>
      </c>
      <c r="I548" s="3"/>
      <c r="J548" t="str">
        <f t="shared" si="197"/>
        <v>LEGACY GENERAL CONTRACTING INC</v>
      </c>
      <c r="K548" t="str">
        <f>"3438725"</f>
        <v>3438725</v>
      </c>
      <c r="L548" s="2" t="str">
        <f>"MPA-52 10/1/15 - 9/30/16 - MATERIALS/PARTS:  THE OWNER SHALL BE ENTITILED TO ANY AND ALL MATERIAL OR TRADE DISCOUNTS OFF LIST PRICES THAT THE VENDOR RECEIVES.  MATERIAL QUOTES AND INVOICE SH"</f>
        <v>MPA-52 10/1/15 - 9/30/16 - MATERIALS/PARTS:  THE OWNER SHALL BE ENTITILED TO ANY AND ALL MATERIAL OR TRADE DISCOUNTS OFF LIST PRICES THAT THE VENDOR RECEIVES.  MATERIAL QUOTES AND INVOICE SH</v>
      </c>
      <c r="M548" t="str">
        <f t="shared" si="200"/>
        <v>SVALLANT</v>
      </c>
    </row>
    <row r="549" spans="1:13" x14ac:dyDescent="0.25">
      <c r="A549" t="str">
        <f t="shared" si="192"/>
        <v>10</v>
      </c>
      <c r="B549" t="str">
        <f t="shared" si="193"/>
        <v>066</v>
      </c>
      <c r="C549" t="str">
        <f t="shared" si="194"/>
        <v>3010106</v>
      </c>
      <c r="D549" t="str">
        <f t="shared" si="195"/>
        <v>03</v>
      </c>
      <c r="E549" t="str">
        <f t="shared" si="196"/>
        <v>640100</v>
      </c>
      <c r="F549" t="str">
        <f>"09/30/16"</f>
        <v>09/30/16</v>
      </c>
      <c r="G549" t="str">
        <f>"74816"</f>
        <v>74816</v>
      </c>
      <c r="H549" s="3">
        <v>2400</v>
      </c>
      <c r="I549" s="3"/>
      <c r="J549" t="str">
        <f t="shared" si="197"/>
        <v>LEGACY GENERAL CONTRACTING INC</v>
      </c>
      <c r="K549" t="str">
        <f>"3438725"</f>
        <v>3438725</v>
      </c>
      <c r="L549" s="2" t="str">
        <f>"MPA-52 10/1/15 - 9/30/16 CARPENTER HOURLY RATE FOR SATURDAY, SUNDAY, HOLIDAY"</f>
        <v>MPA-52 10/1/15 - 9/30/16 CARPENTER HOURLY RATE FOR SATURDAY, SUNDAY, HOLIDAY</v>
      </c>
      <c r="M549" t="str">
        <f t="shared" si="200"/>
        <v>SVALLANT</v>
      </c>
    </row>
    <row r="550" spans="1:13" ht="45" x14ac:dyDescent="0.25">
      <c r="A550" t="str">
        <f t="shared" si="192"/>
        <v>10</v>
      </c>
      <c r="B550" t="str">
        <f t="shared" si="193"/>
        <v>066</v>
      </c>
      <c r="C550" t="str">
        <f t="shared" si="194"/>
        <v>3010106</v>
      </c>
      <c r="D550" t="str">
        <f t="shared" si="195"/>
        <v>03</v>
      </c>
      <c r="E550" t="str">
        <f t="shared" si="196"/>
        <v>640100</v>
      </c>
      <c r="F550" t="str">
        <f>"10/31/13"</f>
        <v>10/31/13</v>
      </c>
      <c r="G550" t="str">
        <f>"15413"</f>
        <v>15413</v>
      </c>
      <c r="H550" s="3">
        <v>11</v>
      </c>
      <c r="I550" s="3"/>
      <c r="J550" t="str">
        <f t="shared" si="197"/>
        <v>LEGACY GENERAL CONTRACTING INC</v>
      </c>
      <c r="K550" t="str">
        <f t="shared" ref="K550:K558" si="201">"3250039"</f>
        <v>3250039</v>
      </c>
      <c r="L550" s="2" t="str">
        <f>"MPA-52 10/1/11 - 9/30/13 MATERIAL COST PLUS FOLLOWING:  $0-500 - NO FEE, $501-700- $75.00, $701-1,000 - $96.00, $1,001-1,500 - $125.00, $1,501-2,500 - $180.00, $2,501-5,000 - $300.00, $5,001-7,500 - $"</f>
        <v>MPA-52 10/1/11 - 9/30/13 MATERIAL COST PLUS FOLLOWING:  $0-500 - NO FEE, $501-700- $75.00, $701-1,000 - $96.00, $1,001-1,500 - $125.00, $1,501-2,500 - $180.00, $2,501-5,000 - $300.00, $5,001-7,500 - $</v>
      </c>
      <c r="M550" t="str">
        <f t="shared" si="200"/>
        <v>SVALLANT</v>
      </c>
    </row>
    <row r="551" spans="1:13" x14ac:dyDescent="0.25">
      <c r="A551" t="str">
        <f t="shared" si="192"/>
        <v>10</v>
      </c>
      <c r="B551" t="str">
        <f t="shared" si="193"/>
        <v>066</v>
      </c>
      <c r="C551" t="str">
        <f t="shared" si="194"/>
        <v>3010106</v>
      </c>
      <c r="D551" t="str">
        <f t="shared" si="195"/>
        <v>03</v>
      </c>
      <c r="E551" t="str">
        <f t="shared" si="196"/>
        <v>640100</v>
      </c>
      <c r="F551" t="str">
        <f>"10/31/13"</f>
        <v>10/31/13</v>
      </c>
      <c r="G551" t="str">
        <f>"15413"</f>
        <v>15413</v>
      </c>
      <c r="H551" s="4">
        <v>270</v>
      </c>
      <c r="I551" s="3"/>
      <c r="J551" t="str">
        <f t="shared" si="197"/>
        <v>LEGACY GENERAL CONTRACTING INC</v>
      </c>
      <c r="K551" t="str">
        <f t="shared" si="201"/>
        <v>3250039</v>
      </c>
      <c r="L551" s="2" t="str">
        <f>"MPA-52 7/1/12 - 9/30/13 Carpentry"</f>
        <v>MPA-52 7/1/12 - 9/30/13 Carpentry</v>
      </c>
      <c r="M551" t="str">
        <f t="shared" si="200"/>
        <v>SVALLANT</v>
      </c>
    </row>
    <row r="552" spans="1:13" x14ac:dyDescent="0.25">
      <c r="A552" t="str">
        <f t="shared" si="192"/>
        <v>10</v>
      </c>
      <c r="B552" t="str">
        <f t="shared" si="193"/>
        <v>066</v>
      </c>
      <c r="C552" t="str">
        <f t="shared" si="194"/>
        <v>3010106</v>
      </c>
      <c r="D552" t="str">
        <f t="shared" si="195"/>
        <v>03</v>
      </c>
      <c r="E552" t="str">
        <f t="shared" si="196"/>
        <v>640100</v>
      </c>
      <c r="F552" t="str">
        <f>"10/31/13"</f>
        <v>10/31/13</v>
      </c>
      <c r="G552" t="str">
        <f>"15413"</f>
        <v>15413</v>
      </c>
      <c r="H552" s="4">
        <v>182.08</v>
      </c>
      <c r="I552" s="3"/>
      <c r="J552" t="str">
        <f t="shared" si="197"/>
        <v>LEGACY GENERAL CONTRACTING INC</v>
      </c>
      <c r="K552" t="str">
        <f t="shared" si="201"/>
        <v>3250039</v>
      </c>
      <c r="L552" s="2" t="str">
        <f>"MPA-52 7/1/12 - 12/31/13 Painting"</f>
        <v>MPA-52 7/1/12 - 12/31/13 Painting</v>
      </c>
      <c r="M552" t="str">
        <f t="shared" si="200"/>
        <v>SVALLANT</v>
      </c>
    </row>
    <row r="553" spans="1:13" ht="45" x14ac:dyDescent="0.25">
      <c r="A553" t="str">
        <f t="shared" si="192"/>
        <v>10</v>
      </c>
      <c r="B553" t="str">
        <f t="shared" si="193"/>
        <v>066</v>
      </c>
      <c r="C553" t="str">
        <f t="shared" si="194"/>
        <v>3010106</v>
      </c>
      <c r="D553" t="str">
        <f t="shared" si="195"/>
        <v>03</v>
      </c>
      <c r="E553" t="str">
        <f t="shared" si="196"/>
        <v>640100</v>
      </c>
      <c r="F553" t="str">
        <f>"10/31/15"</f>
        <v>10/31/15</v>
      </c>
      <c r="G553" t="str">
        <f>"56015"</f>
        <v>56015</v>
      </c>
      <c r="H553" s="4">
        <v>453.67</v>
      </c>
      <c r="I553" s="3"/>
      <c r="J553" t="str">
        <f t="shared" si="197"/>
        <v>LEGACY GENERAL CONTRACTING INC</v>
      </c>
      <c r="K553" t="str">
        <f t="shared" si="201"/>
        <v>3250039</v>
      </c>
      <c r="L553" s="2" t="str">
        <f>"MPA-52  FY16 - MATERIAL COST PLUS FOLLOWING:  $0-500 - NO FEE, $501-700- $75.00, $701-1,000 - $96.00, $1,001-1,500 - $125.00, $1,501-2,500 - $180.00, $2,501-5,000 - $300.00, $5,001-7,500 - $"</f>
        <v>MPA-52  FY16 - MATERIAL COST PLUS FOLLOWING:  $0-500 - NO FEE, $501-700- $75.00, $701-1,000 - $96.00, $1,001-1,500 - $125.00, $1,501-2,500 - $180.00, $2,501-5,000 - $300.00, $5,001-7,500 - $</v>
      </c>
      <c r="M553" t="str">
        <f t="shared" si="200"/>
        <v>SVALLANT</v>
      </c>
    </row>
    <row r="554" spans="1:13" x14ac:dyDescent="0.25">
      <c r="A554" t="str">
        <f t="shared" si="192"/>
        <v>10</v>
      </c>
      <c r="B554" t="str">
        <f t="shared" si="193"/>
        <v>066</v>
      </c>
      <c r="C554" t="str">
        <f t="shared" si="194"/>
        <v>3010106</v>
      </c>
      <c r="D554" t="str">
        <f t="shared" si="195"/>
        <v>03</v>
      </c>
      <c r="E554" t="str">
        <f t="shared" si="196"/>
        <v>640100</v>
      </c>
      <c r="F554" t="str">
        <f>"10/31/15"</f>
        <v>10/31/15</v>
      </c>
      <c r="G554" t="str">
        <f>"56015"</f>
        <v>56015</v>
      </c>
      <c r="H554" s="4">
        <v>1296</v>
      </c>
      <c r="I554" s="3"/>
      <c r="J554" t="str">
        <f t="shared" si="197"/>
        <v>LEGACY GENERAL CONTRACTING INC</v>
      </c>
      <c r="K554" t="str">
        <f t="shared" si="201"/>
        <v>3250039</v>
      </c>
      <c r="L554" s="2" t="str">
        <f>"MPA-52  FY16 - Carpentry"</f>
        <v>MPA-52  FY16 - Carpentry</v>
      </c>
      <c r="M554" t="str">
        <f t="shared" si="200"/>
        <v>SVALLANT</v>
      </c>
    </row>
    <row r="555" spans="1:13" x14ac:dyDescent="0.25">
      <c r="A555" t="str">
        <f t="shared" si="192"/>
        <v>10</v>
      </c>
      <c r="B555" t="str">
        <f t="shared" si="193"/>
        <v>066</v>
      </c>
      <c r="C555" t="str">
        <f t="shared" si="194"/>
        <v>3010106</v>
      </c>
      <c r="D555" t="str">
        <f t="shared" si="195"/>
        <v>03</v>
      </c>
      <c r="E555" t="str">
        <f t="shared" si="196"/>
        <v>640100</v>
      </c>
      <c r="F555" t="str">
        <f>"11/30/14"</f>
        <v>11/30/14</v>
      </c>
      <c r="G555" t="str">
        <f>"34514"</f>
        <v>34514</v>
      </c>
      <c r="H555" s="4">
        <v>200</v>
      </c>
      <c r="I555" s="3"/>
      <c r="J555" t="str">
        <f t="shared" si="197"/>
        <v>LEGACY GENERAL CONTRACTING INC</v>
      </c>
      <c r="K555" t="str">
        <f t="shared" si="201"/>
        <v>3250039</v>
      </c>
      <c r="L555" s="2" t="str">
        <f>"MPA-52 7/1/12 - 9/30/14 Plastering"</f>
        <v>MPA-52 7/1/12 - 9/30/14 Plastering</v>
      </c>
      <c r="M555" t="str">
        <f t="shared" si="200"/>
        <v>SVALLANT</v>
      </c>
    </row>
    <row r="556" spans="1:13" x14ac:dyDescent="0.25">
      <c r="A556" t="str">
        <f t="shared" si="192"/>
        <v>10</v>
      </c>
      <c r="B556" t="str">
        <f t="shared" si="193"/>
        <v>066</v>
      </c>
      <c r="C556" t="str">
        <f t="shared" si="194"/>
        <v>3010106</v>
      </c>
      <c r="D556" t="str">
        <f t="shared" si="195"/>
        <v>03</v>
      </c>
      <c r="E556" t="str">
        <f t="shared" si="196"/>
        <v>640100</v>
      </c>
      <c r="F556" t="str">
        <f>"11/30/14"</f>
        <v>11/30/14</v>
      </c>
      <c r="G556" t="str">
        <f>"34514"</f>
        <v>34514</v>
      </c>
      <c r="H556" s="4">
        <v>546.24</v>
      </c>
      <c r="I556" s="3"/>
      <c r="J556" t="str">
        <f t="shared" si="197"/>
        <v>LEGACY GENERAL CONTRACTING INC</v>
      </c>
      <c r="K556" t="str">
        <f t="shared" si="201"/>
        <v>3250039</v>
      </c>
      <c r="L556" s="2" t="str">
        <f>"MPA-52 7/1/12 - 9/30/14 Painting"</f>
        <v>MPA-52 7/1/12 - 9/30/14 Painting</v>
      </c>
      <c r="M556" t="str">
        <f t="shared" si="200"/>
        <v>SVALLANT</v>
      </c>
    </row>
    <row r="557" spans="1:13" ht="45" x14ac:dyDescent="0.25">
      <c r="A557" t="str">
        <f t="shared" si="192"/>
        <v>10</v>
      </c>
      <c r="B557" t="str">
        <f t="shared" si="193"/>
        <v>066</v>
      </c>
      <c r="C557" t="str">
        <f t="shared" si="194"/>
        <v>3010106</v>
      </c>
      <c r="D557" t="str">
        <f t="shared" si="195"/>
        <v>03</v>
      </c>
      <c r="E557" t="str">
        <f t="shared" si="196"/>
        <v>640100</v>
      </c>
      <c r="F557" t="str">
        <f>"11/30/14"</f>
        <v>11/30/14</v>
      </c>
      <c r="G557" t="str">
        <f>"34514"</f>
        <v>34514</v>
      </c>
      <c r="H557" s="4">
        <v>3921.3</v>
      </c>
      <c r="I557" s="3"/>
      <c r="J557" t="str">
        <f t="shared" si="197"/>
        <v>LEGACY GENERAL CONTRACTING INC</v>
      </c>
      <c r="K557" t="str">
        <f t="shared" si="201"/>
        <v>3250039</v>
      </c>
      <c r="L557" s="2" t="str">
        <f>"MPA-52 10/1/11 - 9/30/14 MATERIAL COST PLUS FOLLOWING:  $0-500 - NO FEE, $501-700- $75.00, $701-1,000 - $96.00, $1,001-1,500 - $125.00, $1,501-2,500 - $180.00, $2,501-5,000 - $300.00, $5,001"</f>
        <v>MPA-52 10/1/11 - 9/30/14 MATERIAL COST PLUS FOLLOWING:  $0-500 - NO FEE, $501-700- $75.00, $701-1,000 - $96.00, $1,001-1,500 - $125.00, $1,501-2,500 - $180.00, $2,501-5,000 - $300.00, $5,001</v>
      </c>
      <c r="M557" t="str">
        <f t="shared" si="200"/>
        <v>SVALLANT</v>
      </c>
    </row>
    <row r="558" spans="1:13" x14ac:dyDescent="0.25">
      <c r="A558" t="str">
        <f t="shared" si="192"/>
        <v>10</v>
      </c>
      <c r="B558" t="str">
        <f t="shared" si="193"/>
        <v>066</v>
      </c>
      <c r="C558" t="str">
        <f t="shared" si="194"/>
        <v>3010106</v>
      </c>
      <c r="D558" t="str">
        <f t="shared" si="195"/>
        <v>03</v>
      </c>
      <c r="E558" t="str">
        <f t="shared" si="196"/>
        <v>640100</v>
      </c>
      <c r="F558" t="str">
        <f>"11/30/14"</f>
        <v>11/30/14</v>
      </c>
      <c r="G558" t="str">
        <f>"34514"</f>
        <v>34514</v>
      </c>
      <c r="H558" s="4">
        <v>3780</v>
      </c>
      <c r="I558" s="3"/>
      <c r="J558" t="str">
        <f t="shared" si="197"/>
        <v>LEGACY GENERAL CONTRACTING INC</v>
      </c>
      <c r="K558" t="str">
        <f t="shared" si="201"/>
        <v>3250039</v>
      </c>
      <c r="L558" s="2" t="str">
        <f>"MPA-52 7/1/12 - 9/30/14 Carpentry"</f>
        <v>MPA-52 7/1/12 - 9/30/14 Carpentry</v>
      </c>
      <c r="M558" t="str">
        <f t="shared" si="200"/>
        <v>SVALLANT</v>
      </c>
    </row>
    <row r="559" spans="1:13" ht="30" x14ac:dyDescent="0.25">
      <c r="A559" t="str">
        <f t="shared" si="192"/>
        <v>10</v>
      </c>
      <c r="B559" t="str">
        <f t="shared" si="193"/>
        <v>066</v>
      </c>
      <c r="C559" t="str">
        <f t="shared" si="194"/>
        <v>3010106</v>
      </c>
      <c r="D559" t="str">
        <f t="shared" si="195"/>
        <v>03</v>
      </c>
      <c r="E559" t="str">
        <f>"660010"</f>
        <v>660010</v>
      </c>
      <c r="F559" t="str">
        <f>"02/28/15"</f>
        <v>02/28/15</v>
      </c>
      <c r="G559" t="str">
        <f>"APPLICATION NO: 1"</f>
        <v>APPLICATION NO: 1</v>
      </c>
      <c r="H559" s="4">
        <v>149500</v>
      </c>
      <c r="I559" s="3"/>
      <c r="J559" t="str">
        <f t="shared" si="197"/>
        <v>LEGACY GENERAL CONTRACTING INC</v>
      </c>
      <c r="K559" t="str">
        <f>"3409412"</f>
        <v>3409412</v>
      </c>
      <c r="L559" s="2" t="str">
        <f>"SUITE INTERIOR RENOVATIONS AT THE ATTORNEY GENERAL'S OFFICE IN ACCORDANCE WITH THE PLANS, SPECIFICATIONS AND DOCUMENTS OF PUBLIC RFQ #7548499 DATED 3/28/14"</f>
        <v>SUITE INTERIOR RENOVATIONS AT THE ATTORNEY GENERAL'S OFFICE IN ACCORDANCE WITH THE PLANS, SPECIFICATIONS AND DOCUMENTS OF PUBLIC RFQ #7548499 DATED 3/28/14</v>
      </c>
      <c r="M559" t="str">
        <f t="shared" si="200"/>
        <v>SVALLANT</v>
      </c>
    </row>
    <row r="560" spans="1:13" ht="30" x14ac:dyDescent="0.25">
      <c r="A560" t="str">
        <f t="shared" si="192"/>
        <v>10</v>
      </c>
      <c r="B560" t="str">
        <f t="shared" si="193"/>
        <v>066</v>
      </c>
      <c r="C560" t="str">
        <f t="shared" si="194"/>
        <v>3010106</v>
      </c>
      <c r="D560" t="str">
        <f t="shared" si="195"/>
        <v>03</v>
      </c>
      <c r="E560" t="str">
        <f>"660010"</f>
        <v>660010</v>
      </c>
      <c r="F560" t="str">
        <f>"03/31/15"</f>
        <v>03/31/15</v>
      </c>
      <c r="G560" t="str">
        <f>"APPLICATION NO: 2"</f>
        <v>APPLICATION NO: 2</v>
      </c>
      <c r="H560" s="4">
        <v>127715.15</v>
      </c>
      <c r="I560" s="3"/>
      <c r="J560" t="str">
        <f t="shared" si="197"/>
        <v>LEGACY GENERAL CONTRACTING INC</v>
      </c>
      <c r="K560" t="str">
        <f>"3409412"</f>
        <v>3409412</v>
      </c>
      <c r="L560" s="2" t="str">
        <f>"SUITE INTERIOR RENOVATIONS AT THE ATTORNEY GENERAL'S OFFICE IN ACCORDANCE WITH THE PLANS, SPECIFICATIONS AND DOCUMENTS OF PUBLIC RFQ #7548499 DATED 3/28/14"</f>
        <v>SUITE INTERIOR RENOVATIONS AT THE ATTORNEY GENERAL'S OFFICE IN ACCORDANCE WITH THE PLANS, SPECIFICATIONS AND DOCUMENTS OF PUBLIC RFQ #7548499 DATED 3/28/14</v>
      </c>
      <c r="M560" t="str">
        <f t="shared" si="200"/>
        <v>SVALLANT</v>
      </c>
    </row>
    <row r="561" spans="1:13" ht="30" x14ac:dyDescent="0.25">
      <c r="A561" t="str">
        <f t="shared" si="192"/>
        <v>10</v>
      </c>
      <c r="B561" t="str">
        <f t="shared" si="193"/>
        <v>066</v>
      </c>
      <c r="C561" t="str">
        <f t="shared" si="194"/>
        <v>3010106</v>
      </c>
      <c r="D561" t="str">
        <f t="shared" si="195"/>
        <v>03</v>
      </c>
      <c r="E561" t="str">
        <f>"660010"</f>
        <v>660010</v>
      </c>
      <c r="F561" t="str">
        <f>"04/30/15"</f>
        <v>04/30/15</v>
      </c>
      <c r="G561" t="str">
        <f>"APPLICATION NO: 3"</f>
        <v>APPLICATION NO: 3</v>
      </c>
      <c r="H561" s="4">
        <v>127395</v>
      </c>
      <c r="I561" s="3"/>
      <c r="J561" t="str">
        <f t="shared" si="197"/>
        <v>LEGACY GENERAL CONTRACTING INC</v>
      </c>
      <c r="K561" t="str">
        <f>"3409412"</f>
        <v>3409412</v>
      </c>
      <c r="L561" s="2" t="str">
        <f>"SUITE INTERIOR RENOVATIONS AT THE ATTORNEY GENERAL'S OFFICE IN ACCORDANCE WITH THE PLANS, SPECIFICATIONS AND DOCUMENTS OF PUBLIC RFQ #7548499 DATED 3/28/14"</f>
        <v>SUITE INTERIOR RENOVATIONS AT THE ATTORNEY GENERAL'S OFFICE IN ACCORDANCE WITH THE PLANS, SPECIFICATIONS AND DOCUMENTS OF PUBLIC RFQ #7548499 DATED 3/28/14</v>
      </c>
      <c r="M561" t="str">
        <f t="shared" si="200"/>
        <v>SVALLANT</v>
      </c>
    </row>
    <row r="562" spans="1:13" ht="30" x14ac:dyDescent="0.25">
      <c r="A562" t="str">
        <f t="shared" si="192"/>
        <v>10</v>
      </c>
      <c r="B562" t="str">
        <f t="shared" si="193"/>
        <v>066</v>
      </c>
      <c r="C562" t="str">
        <f t="shared" si="194"/>
        <v>3010106</v>
      </c>
      <c r="D562" t="str">
        <f t="shared" si="195"/>
        <v>03</v>
      </c>
      <c r="E562" t="str">
        <f>"660010"</f>
        <v>660010</v>
      </c>
      <c r="F562" t="str">
        <f>"11/30/15"</f>
        <v>11/30/15</v>
      </c>
      <c r="G562" t="str">
        <f>"APPLICATION #4"</f>
        <v>APPLICATION #4</v>
      </c>
      <c r="H562" s="3">
        <v>50087.35</v>
      </c>
      <c r="I562" s="3"/>
      <c r="J562" t="str">
        <f t="shared" si="197"/>
        <v>LEGACY GENERAL CONTRACTING INC</v>
      </c>
      <c r="K562" t="str">
        <f>"3434593"</f>
        <v>3434593</v>
      </c>
      <c r="L562" s="2" t="str">
        <f>"SUITE INTERIOR RENOVATIONS AT THE ATTORNEY GENERAL'S OFFICE IN ACCORDANCE WITH THE PLANS, SPECIFICATIONS AND DOCUMENTS OF PUBLIC RFQ #7548499 DATED 3/28/14"</f>
        <v>SUITE INTERIOR RENOVATIONS AT THE ATTORNEY GENERAL'S OFFICE IN ACCORDANCE WITH THE PLANS, SPECIFICATIONS AND DOCUMENTS OF PUBLIC RFQ #7548499 DATED 3/28/14</v>
      </c>
      <c r="M562" t="str">
        <f t="shared" si="200"/>
        <v>SVALLANT</v>
      </c>
    </row>
    <row r="563" spans="1:13" x14ac:dyDescent="0.25">
      <c r="H563" s="6">
        <f>SUM(H531:H562)</f>
        <v>489824.92999999993</v>
      </c>
      <c r="I563" s="6">
        <f>SUM(H531:H562)</f>
        <v>489824.92999999993</v>
      </c>
      <c r="J563" s="4"/>
      <c r="L563" s="2"/>
      <c r="M563" t="str">
        <f t="shared" si="200"/>
        <v>SVALLANT</v>
      </c>
    </row>
    <row r="564" spans="1:13" x14ac:dyDescent="0.25">
      <c r="H564" s="3"/>
      <c r="I564" s="3"/>
      <c r="L564" s="2"/>
    </row>
    <row r="565" spans="1:13" x14ac:dyDescent="0.25">
      <c r="A565" t="str">
        <f>"10"</f>
        <v>10</v>
      </c>
      <c r="B565" t="str">
        <f>"066"</f>
        <v>066</v>
      </c>
      <c r="C565" t="str">
        <f>"3010106"</f>
        <v>3010106</v>
      </c>
      <c r="D565" t="str">
        <f>"03"</f>
        <v>03</v>
      </c>
      <c r="E565" t="str">
        <f>"661501"</f>
        <v>661501</v>
      </c>
      <c r="F565" t="str">
        <f>"06/30/13"</f>
        <v>06/30/13</v>
      </c>
      <c r="G565" t="str">
        <f>"87555/87556/87560"</f>
        <v>87555/87556/87560</v>
      </c>
      <c r="H565" s="6">
        <v>53769</v>
      </c>
      <c r="I565" s="6">
        <f>SUM(H565)</f>
        <v>53769</v>
      </c>
      <c r="J565" t="str">
        <f>"LIBERTY CHEVROLET INC"</f>
        <v>LIBERTY CHEVROLET INC</v>
      </c>
      <c r="K565" t="str">
        <f>"3322552"</f>
        <v>3322552</v>
      </c>
      <c r="L565" s="2" t="str">
        <f>"chevrolet Impala"</f>
        <v>chevrolet Impala</v>
      </c>
    </row>
    <row r="566" spans="1:13" x14ac:dyDescent="0.25">
      <c r="H566" s="3"/>
      <c r="I566" s="3"/>
      <c r="L566" s="2"/>
      <c r="M566" t="str">
        <f>"MFUSCO"</f>
        <v>MFUSCO</v>
      </c>
    </row>
    <row r="567" spans="1:13" x14ac:dyDescent="0.25">
      <c r="A567" t="str">
        <f t="shared" ref="A567:A576" si="202">"10"</f>
        <v>10</v>
      </c>
      <c r="B567" t="str">
        <f t="shared" ref="B567:B576" si="203">"066"</f>
        <v>066</v>
      </c>
      <c r="C567" t="str">
        <f t="shared" ref="C567:C576" si="204">"3010106"</f>
        <v>3010106</v>
      </c>
      <c r="D567" t="str">
        <f t="shared" ref="D567:D576" si="205">"03"</f>
        <v>03</v>
      </c>
      <c r="E567" t="str">
        <f t="shared" ref="E567:E576" si="206">"640100"</f>
        <v>640100</v>
      </c>
      <c r="F567" t="str">
        <f>"01/31/16"</f>
        <v>01/31/16</v>
      </c>
      <c r="G567" t="str">
        <f>"77482"</f>
        <v>77482</v>
      </c>
      <c r="H567" s="3">
        <v>4006</v>
      </c>
      <c r="I567" s="3"/>
      <c r="J567" t="str">
        <f t="shared" ref="J567:J576" si="207">"LOCK SHOP, THE"</f>
        <v>LOCK SHOP, THE</v>
      </c>
      <c r="K567" t="str">
        <f>"3432735"</f>
        <v>3432735</v>
      </c>
      <c r="L567" s="2" t="str">
        <f>"MPA-331 FY-16 - FY-18: DISCOUNT FOR PARTS OFF MANUFACTUERS LIST PRICE, 15%"</f>
        <v>MPA-331 FY-16 - FY-18: DISCOUNT FOR PARTS OFF MANUFACTUERS LIST PRICE, 15%</v>
      </c>
    </row>
    <row r="568" spans="1:13" x14ac:dyDescent="0.25">
      <c r="A568" t="str">
        <f t="shared" si="202"/>
        <v>10</v>
      </c>
      <c r="B568" t="str">
        <f t="shared" si="203"/>
        <v>066</v>
      </c>
      <c r="C568" t="str">
        <f t="shared" si="204"/>
        <v>3010106</v>
      </c>
      <c r="D568" t="str">
        <f t="shared" si="205"/>
        <v>03</v>
      </c>
      <c r="E568" t="str">
        <f t="shared" si="206"/>
        <v>640100</v>
      </c>
      <c r="F568" t="str">
        <f>"01/31/16"</f>
        <v>01/31/16</v>
      </c>
      <c r="G568" t="str">
        <f>"77482"</f>
        <v>77482</v>
      </c>
      <c r="H568" s="3">
        <v>600</v>
      </c>
      <c r="I568" s="3"/>
      <c r="J568" t="str">
        <f t="shared" si="207"/>
        <v>LOCK SHOP, THE</v>
      </c>
      <c r="K568" t="str">
        <f>"3432735"</f>
        <v>3432735</v>
      </c>
      <c r="L568" s="2" t="str">
        <f>"MPA-331 FY-16: REGULAR HOURLY RATE FOR LOCKSMITH ONLY (NO HELPER) ON SITE"</f>
        <v>MPA-331 FY-16: REGULAR HOURLY RATE FOR LOCKSMITH ONLY (NO HELPER) ON SITE</v>
      </c>
      <c r="M568" t="str">
        <f>"SVALLANT"</f>
        <v>SVALLANT</v>
      </c>
    </row>
    <row r="569" spans="1:13" ht="30" x14ac:dyDescent="0.25">
      <c r="A569" t="str">
        <f t="shared" si="202"/>
        <v>10</v>
      </c>
      <c r="B569" t="str">
        <f t="shared" si="203"/>
        <v>066</v>
      </c>
      <c r="C569" t="str">
        <f t="shared" si="204"/>
        <v>3010106</v>
      </c>
      <c r="D569" t="str">
        <f t="shared" si="205"/>
        <v>03</v>
      </c>
      <c r="E569" t="str">
        <f t="shared" si="206"/>
        <v>640100</v>
      </c>
      <c r="F569" t="str">
        <f>"03/31/15"</f>
        <v>03/31/15</v>
      </c>
      <c r="G569" t="str">
        <f>"J03205-2"</f>
        <v>J03205-2</v>
      </c>
      <c r="H569" s="3">
        <v>228</v>
      </c>
      <c r="I569" s="3"/>
      <c r="J569" t="str">
        <f t="shared" si="207"/>
        <v>LOCK SHOP, THE</v>
      </c>
      <c r="K569" t="str">
        <f t="shared" ref="K569:K576" si="208">"3295408"</f>
        <v>3295408</v>
      </c>
      <c r="L569" s="2" t="str">
        <f>"MPA-331 10/1/14 - 9/30/15: REGULAR HOURLY RATE FOR LOCKSMITH ONLY (NO HELPER) ON SITE"</f>
        <v>MPA-331 10/1/14 - 9/30/15: REGULAR HOURLY RATE FOR LOCKSMITH ONLY (NO HELPER) ON SITE</v>
      </c>
      <c r="M569" t="str">
        <f>"SVALLANT"</f>
        <v>SVALLANT</v>
      </c>
    </row>
    <row r="570" spans="1:13" x14ac:dyDescent="0.25">
      <c r="A570" t="str">
        <f t="shared" si="202"/>
        <v>10</v>
      </c>
      <c r="B570" t="str">
        <f t="shared" si="203"/>
        <v>066</v>
      </c>
      <c r="C570" t="str">
        <f t="shared" si="204"/>
        <v>3010106</v>
      </c>
      <c r="D570" t="str">
        <f t="shared" si="205"/>
        <v>03</v>
      </c>
      <c r="E570" t="str">
        <f t="shared" si="206"/>
        <v>640100</v>
      </c>
      <c r="F570" t="str">
        <f>"03/31/15"</f>
        <v>03/31/15</v>
      </c>
      <c r="G570" t="str">
        <f>"J03205-2"</f>
        <v>J03205-2</v>
      </c>
      <c r="H570" s="3">
        <v>370.6</v>
      </c>
      <c r="I570" s="3"/>
      <c r="J570" t="str">
        <f t="shared" si="207"/>
        <v>LOCK SHOP, THE</v>
      </c>
      <c r="K570" t="str">
        <f t="shared" si="208"/>
        <v>3295408</v>
      </c>
      <c r="L570" s="2" t="str">
        <f>"MPA-331 10/1/12 - 9/30/15 DISCOUNT FROM MFG. LIST PRICES FOR PARTS 10%"</f>
        <v>MPA-331 10/1/12 - 9/30/15 DISCOUNT FROM MFG. LIST PRICES FOR PARTS 10%</v>
      </c>
      <c r="M570" t="str">
        <f>"SVALLANT"</f>
        <v>SVALLANT</v>
      </c>
    </row>
    <row r="571" spans="1:13" ht="30" x14ac:dyDescent="0.25">
      <c r="A571" t="str">
        <f t="shared" si="202"/>
        <v>10</v>
      </c>
      <c r="B571" t="str">
        <f t="shared" si="203"/>
        <v>066</v>
      </c>
      <c r="C571" t="str">
        <f t="shared" si="204"/>
        <v>3010106</v>
      </c>
      <c r="D571" t="str">
        <f t="shared" si="205"/>
        <v>03</v>
      </c>
      <c r="E571" t="str">
        <f t="shared" si="206"/>
        <v>640100</v>
      </c>
      <c r="F571" t="str">
        <f>"04/30/15"</f>
        <v>04/30/15</v>
      </c>
      <c r="G571" t="str">
        <f>"75448"</f>
        <v>75448</v>
      </c>
      <c r="H571" s="3">
        <v>76</v>
      </c>
      <c r="I571" s="3"/>
      <c r="J571" t="str">
        <f t="shared" si="207"/>
        <v>LOCK SHOP, THE</v>
      </c>
      <c r="K571" t="str">
        <f t="shared" si="208"/>
        <v>3295408</v>
      </c>
      <c r="L571" s="2" t="str">
        <f>"MPA-331 10/1/14 - 9/30/15: REGULAR HOURLY RATE FOR LOCKSMITH ONLY (NO HELPER) ON SITE"</f>
        <v>MPA-331 10/1/14 - 9/30/15: REGULAR HOURLY RATE FOR LOCKSMITH ONLY (NO HELPER) ON SITE</v>
      </c>
      <c r="M571" t="str">
        <f>"SVALLANT"</f>
        <v>SVALLANT</v>
      </c>
    </row>
    <row r="572" spans="1:13" ht="30" x14ac:dyDescent="0.25">
      <c r="A572" t="str">
        <f t="shared" si="202"/>
        <v>10</v>
      </c>
      <c r="B572" t="str">
        <f t="shared" si="203"/>
        <v>066</v>
      </c>
      <c r="C572" t="str">
        <f t="shared" si="204"/>
        <v>3010106</v>
      </c>
      <c r="D572" t="str">
        <f t="shared" si="205"/>
        <v>03</v>
      </c>
      <c r="E572" t="str">
        <f t="shared" si="206"/>
        <v>640100</v>
      </c>
      <c r="F572" t="str">
        <f>"07/31/15"</f>
        <v>07/31/15</v>
      </c>
      <c r="G572" t="str">
        <f>"76074"</f>
        <v>76074</v>
      </c>
      <c r="H572" s="3">
        <v>251.1</v>
      </c>
      <c r="I572" s="3"/>
      <c r="J572" t="str">
        <f t="shared" si="207"/>
        <v>LOCK SHOP, THE</v>
      </c>
      <c r="K572" t="str">
        <f t="shared" si="208"/>
        <v>3295408</v>
      </c>
      <c r="L572" s="2" t="str">
        <f>"MPA-331 10/1/14 - 9/30/15: REGULAR HOURLY RATE FOR LOCKSMITH ONLY (NO HELPER) ON SITE"</f>
        <v>MPA-331 10/1/14 - 9/30/15: REGULAR HOURLY RATE FOR LOCKSMITH ONLY (NO HELPER) ON SITE</v>
      </c>
      <c r="M572" t="str">
        <f>"SVALLANT"</f>
        <v>SVALLANT</v>
      </c>
    </row>
    <row r="573" spans="1:13" x14ac:dyDescent="0.25">
      <c r="A573" t="str">
        <f t="shared" si="202"/>
        <v>10</v>
      </c>
      <c r="B573" t="str">
        <f t="shared" si="203"/>
        <v>066</v>
      </c>
      <c r="C573" t="str">
        <f t="shared" si="204"/>
        <v>3010106</v>
      </c>
      <c r="D573" t="str">
        <f t="shared" si="205"/>
        <v>03</v>
      </c>
      <c r="E573" t="str">
        <f t="shared" si="206"/>
        <v>640100</v>
      </c>
      <c r="F573" t="str">
        <f>"07/31/15"</f>
        <v>07/31/15</v>
      </c>
      <c r="G573" t="str">
        <f>"76075"</f>
        <v>76075</v>
      </c>
      <c r="H573" s="3">
        <v>611.72</v>
      </c>
      <c r="I573" s="3"/>
      <c r="J573" t="str">
        <f t="shared" si="207"/>
        <v>LOCK SHOP, THE</v>
      </c>
      <c r="K573" t="str">
        <f t="shared" si="208"/>
        <v>3295408</v>
      </c>
      <c r="L573" s="2" t="str">
        <f>"MPA-331 10/1/12 - 9/30/15 DISCOUNT FROM MFG. LIST PRICES FOR PARTS 10%"</f>
        <v>MPA-331 10/1/12 - 9/30/15 DISCOUNT FROM MFG. LIST PRICES FOR PARTS 10%</v>
      </c>
      <c r="M573" t="str">
        <f>"MFUSCO"</f>
        <v>MFUSCO</v>
      </c>
    </row>
    <row r="574" spans="1:13" ht="30" x14ac:dyDescent="0.25">
      <c r="A574" t="str">
        <f t="shared" si="202"/>
        <v>10</v>
      </c>
      <c r="B574" t="str">
        <f t="shared" si="203"/>
        <v>066</v>
      </c>
      <c r="C574" t="str">
        <f t="shared" si="204"/>
        <v>3010106</v>
      </c>
      <c r="D574" t="str">
        <f t="shared" si="205"/>
        <v>03</v>
      </c>
      <c r="E574" t="str">
        <f t="shared" si="206"/>
        <v>640100</v>
      </c>
      <c r="F574" t="str">
        <f>"07/31/15"</f>
        <v>07/31/15</v>
      </c>
      <c r="G574" t="str">
        <f>"76075"</f>
        <v>76075</v>
      </c>
      <c r="H574" s="3">
        <v>280.89999999999998</v>
      </c>
      <c r="I574" s="3"/>
      <c r="J574" t="str">
        <f t="shared" si="207"/>
        <v>LOCK SHOP, THE</v>
      </c>
      <c r="K574" t="str">
        <f t="shared" si="208"/>
        <v>3295408</v>
      </c>
      <c r="L574" s="2" t="str">
        <f>"MPA-331 10/1/14 - 9/30/15: REGULAR HOURLY RATE FOR LOCKSMITH ONLY (NO HELPER) ON SITE"</f>
        <v>MPA-331 10/1/14 - 9/30/15: REGULAR HOURLY RATE FOR LOCKSMITH ONLY (NO HELPER) ON SITE</v>
      </c>
      <c r="M574" t="str">
        <f>"MFUSCO"</f>
        <v>MFUSCO</v>
      </c>
    </row>
    <row r="575" spans="1:13" x14ac:dyDescent="0.25">
      <c r="A575" t="str">
        <f t="shared" si="202"/>
        <v>10</v>
      </c>
      <c r="B575" t="str">
        <f t="shared" si="203"/>
        <v>066</v>
      </c>
      <c r="C575" t="str">
        <f t="shared" si="204"/>
        <v>3010106</v>
      </c>
      <c r="D575" t="str">
        <f t="shared" si="205"/>
        <v>03</v>
      </c>
      <c r="E575" t="str">
        <f t="shared" si="206"/>
        <v>640100</v>
      </c>
      <c r="F575" t="str">
        <f>"09/30/15"</f>
        <v>09/30/15</v>
      </c>
      <c r="G575" t="str">
        <f>"76397"</f>
        <v>76397</v>
      </c>
      <c r="H575" s="3">
        <v>1186.2</v>
      </c>
      <c r="I575" s="3"/>
      <c r="J575" t="str">
        <f t="shared" si="207"/>
        <v>LOCK SHOP, THE</v>
      </c>
      <c r="K575" t="str">
        <f t="shared" si="208"/>
        <v>3295408</v>
      </c>
      <c r="L575" s="2" t="str">
        <f>"MPA-331 10/1/12 - 9/30/15 DISCOUNT FROM MFG. LIST PRICES FOR PARTS 10%"</f>
        <v>MPA-331 10/1/12 - 9/30/15 DISCOUNT FROM MFG. LIST PRICES FOR PARTS 10%</v>
      </c>
      <c r="M575" t="str">
        <f>"MFUSCO"</f>
        <v>MFUSCO</v>
      </c>
    </row>
    <row r="576" spans="1:13" ht="30" x14ac:dyDescent="0.25">
      <c r="A576" t="str">
        <f t="shared" si="202"/>
        <v>10</v>
      </c>
      <c r="B576" t="str">
        <f t="shared" si="203"/>
        <v>066</v>
      </c>
      <c r="C576" t="str">
        <f t="shared" si="204"/>
        <v>3010106</v>
      </c>
      <c r="D576" t="str">
        <f t="shared" si="205"/>
        <v>03</v>
      </c>
      <c r="E576" t="str">
        <f t="shared" si="206"/>
        <v>640100</v>
      </c>
      <c r="F576" t="str">
        <f>"09/30/15"</f>
        <v>09/30/15</v>
      </c>
      <c r="G576" t="str">
        <f>"76397"</f>
        <v>76397</v>
      </c>
      <c r="H576" s="3">
        <v>228</v>
      </c>
      <c r="I576" s="3"/>
      <c r="J576" t="str">
        <f t="shared" si="207"/>
        <v>LOCK SHOP, THE</v>
      </c>
      <c r="K576" t="str">
        <f t="shared" si="208"/>
        <v>3295408</v>
      </c>
      <c r="L576" s="2" t="str">
        <f>"MPA-331 10/1/14 - 9/30/15: REGULAR HOURLY RATE FOR LOCKSMITH ONLY (NO HELPER) ON SITE"</f>
        <v>MPA-331 10/1/14 - 9/30/15: REGULAR HOURLY RATE FOR LOCKSMITH ONLY (NO HELPER) ON SITE</v>
      </c>
      <c r="M576" t="str">
        <f>"SVALLANT"</f>
        <v>SVALLANT</v>
      </c>
    </row>
    <row r="577" spans="1:13" x14ac:dyDescent="0.25">
      <c r="H577" s="6">
        <f>SUM(H567:H576)</f>
        <v>7838.52</v>
      </c>
      <c r="I577" s="6">
        <f>SUM(H567:H576)</f>
        <v>7838.52</v>
      </c>
      <c r="L577" s="2"/>
      <c r="M577" t="str">
        <f>"SVALLANT"</f>
        <v>SVALLANT</v>
      </c>
    </row>
    <row r="578" spans="1:13" x14ac:dyDescent="0.25">
      <c r="H578" s="3"/>
      <c r="I578" s="3"/>
      <c r="L578" s="2"/>
    </row>
    <row r="579" spans="1:13" ht="45" x14ac:dyDescent="0.25">
      <c r="A579" t="str">
        <f t="shared" ref="A579:A613" si="209">"10"</f>
        <v>10</v>
      </c>
      <c r="B579" t="str">
        <f t="shared" ref="B579:B613" si="210">"066"</f>
        <v>066</v>
      </c>
      <c r="C579" t="str">
        <f t="shared" ref="C579:C613" si="211">"3010106"</f>
        <v>3010106</v>
      </c>
      <c r="D579" t="str">
        <f t="shared" ref="D579:D613" si="212">"03"</f>
        <v>03</v>
      </c>
      <c r="E579" t="str">
        <f t="shared" ref="E579:E612" si="213">"638100"</f>
        <v>638100</v>
      </c>
      <c r="F579" t="str">
        <f>"01/31/16"</f>
        <v>01/31/16</v>
      </c>
      <c r="G579" t="str">
        <f>"76358"</f>
        <v>76358</v>
      </c>
      <c r="H579" s="3">
        <v>1744.16</v>
      </c>
      <c r="I579" s="3"/>
      <c r="J579" t="str">
        <f t="shared" ref="J579:J613" si="214">"MARTINS MAINTENANCE INC"</f>
        <v>MARTINS MAINTENANCE INC</v>
      </c>
      <c r="K579" t="str">
        <f t="shared" ref="K579:K612" si="215">"3386044"</f>
        <v>3386044</v>
      </c>
      <c r="L579" s="2" t="s">
        <v>31</v>
      </c>
    </row>
    <row r="580" spans="1:13" ht="45" x14ac:dyDescent="0.25">
      <c r="A580" t="str">
        <f t="shared" si="209"/>
        <v>10</v>
      </c>
      <c r="B580" t="str">
        <f t="shared" si="210"/>
        <v>066</v>
      </c>
      <c r="C580" t="str">
        <f t="shared" si="211"/>
        <v>3010106</v>
      </c>
      <c r="D580" t="str">
        <f t="shared" si="212"/>
        <v>03</v>
      </c>
      <c r="E580" t="str">
        <f t="shared" si="213"/>
        <v>638100</v>
      </c>
      <c r="F580" t="str">
        <f>"01/31/17"</f>
        <v>01/31/17</v>
      </c>
      <c r="G580" t="str">
        <f>"81942"</f>
        <v>81942</v>
      </c>
      <c r="H580" s="3">
        <v>1744.16</v>
      </c>
      <c r="I580" s="3"/>
      <c r="J580" t="str">
        <f t="shared" si="214"/>
        <v>MARTINS MAINTENANCE INC</v>
      </c>
      <c r="K580" t="str">
        <f t="shared" si="215"/>
        <v>3386044</v>
      </c>
      <c r="L580" s="2" t="s">
        <v>32</v>
      </c>
      <c r="M580" t="str">
        <f>"JCLARK@M"</f>
        <v>JCLARK@M</v>
      </c>
    </row>
    <row r="581" spans="1:13" ht="45" x14ac:dyDescent="0.25">
      <c r="A581" t="str">
        <f t="shared" si="209"/>
        <v>10</v>
      </c>
      <c r="B581" t="str">
        <f t="shared" si="210"/>
        <v>066</v>
      </c>
      <c r="C581" t="str">
        <f t="shared" si="211"/>
        <v>3010106</v>
      </c>
      <c r="D581" t="str">
        <f t="shared" si="212"/>
        <v>03</v>
      </c>
      <c r="E581" t="str">
        <f t="shared" si="213"/>
        <v>638100</v>
      </c>
      <c r="F581" t="str">
        <f>"02/28/15"</f>
        <v>02/28/15</v>
      </c>
      <c r="G581" t="str">
        <f>"71208"</f>
        <v>71208</v>
      </c>
      <c r="H581" s="4">
        <v>160.97999999999999</v>
      </c>
      <c r="I581" s="3"/>
      <c r="J581" t="str">
        <f t="shared" si="214"/>
        <v>MARTINS MAINTENANCE INC</v>
      </c>
      <c r="K581" t="str">
        <f t="shared" si="215"/>
        <v>3386044</v>
      </c>
      <c r="L581" s="2" t="s">
        <v>33</v>
      </c>
      <c r="M581" t="str">
        <f>"JCLARK@M"</f>
        <v>JCLARK@M</v>
      </c>
    </row>
    <row r="582" spans="1:13" ht="45" x14ac:dyDescent="0.25">
      <c r="A582" t="str">
        <f t="shared" si="209"/>
        <v>10</v>
      </c>
      <c r="B582" t="str">
        <f t="shared" si="210"/>
        <v>066</v>
      </c>
      <c r="C582" t="str">
        <f t="shared" si="211"/>
        <v>3010106</v>
      </c>
      <c r="D582" t="str">
        <f t="shared" si="212"/>
        <v>03</v>
      </c>
      <c r="E582" t="str">
        <f t="shared" si="213"/>
        <v>638100</v>
      </c>
      <c r="F582" t="str">
        <f>"02/28/15"</f>
        <v>02/28/15</v>
      </c>
      <c r="G582" t="str">
        <f>"71288"</f>
        <v>71288</v>
      </c>
      <c r="H582" s="4">
        <v>348.79</v>
      </c>
      <c r="I582" s="3"/>
      <c r="J582" t="str">
        <f t="shared" si="214"/>
        <v>MARTINS MAINTENANCE INC</v>
      </c>
      <c r="K582" t="str">
        <f t="shared" si="215"/>
        <v>3386044</v>
      </c>
      <c r="L582" s="2" t="s">
        <v>33</v>
      </c>
      <c r="M582" t="str">
        <f>"SVALLANT"</f>
        <v>SVALLANT</v>
      </c>
    </row>
    <row r="583" spans="1:13" ht="45" x14ac:dyDescent="0.25">
      <c r="A583" t="str">
        <f t="shared" si="209"/>
        <v>10</v>
      </c>
      <c r="B583" t="str">
        <f t="shared" si="210"/>
        <v>066</v>
      </c>
      <c r="C583" t="str">
        <f t="shared" si="211"/>
        <v>3010106</v>
      </c>
      <c r="D583" t="str">
        <f t="shared" si="212"/>
        <v>03</v>
      </c>
      <c r="E583" t="str">
        <f t="shared" si="213"/>
        <v>638100</v>
      </c>
      <c r="F583" t="str">
        <f>"02/28/15"</f>
        <v>02/28/15</v>
      </c>
      <c r="G583" t="str">
        <f>"71436"</f>
        <v>71436</v>
      </c>
      <c r="H583" s="4">
        <v>1397</v>
      </c>
      <c r="I583" s="3"/>
      <c r="J583" t="str">
        <f t="shared" si="214"/>
        <v>MARTINS MAINTENANCE INC</v>
      </c>
      <c r="K583" t="str">
        <f t="shared" si="215"/>
        <v>3386044</v>
      </c>
      <c r="L583" s="2" t="s">
        <v>33</v>
      </c>
      <c r="M583" t="str">
        <f>"SVALLANT"</f>
        <v>SVALLANT</v>
      </c>
    </row>
    <row r="584" spans="1:13" ht="45" x14ac:dyDescent="0.25">
      <c r="A584" t="str">
        <f t="shared" si="209"/>
        <v>10</v>
      </c>
      <c r="B584" t="str">
        <f t="shared" si="210"/>
        <v>066</v>
      </c>
      <c r="C584" t="str">
        <f t="shared" si="211"/>
        <v>3010106</v>
      </c>
      <c r="D584" t="str">
        <f t="shared" si="212"/>
        <v>03</v>
      </c>
      <c r="E584" t="str">
        <f t="shared" si="213"/>
        <v>638100</v>
      </c>
      <c r="F584" t="str">
        <f>"02/28/15"</f>
        <v>02/28/15</v>
      </c>
      <c r="G584" t="str">
        <f>"71724"</f>
        <v>71724</v>
      </c>
      <c r="H584" s="4">
        <v>348.79</v>
      </c>
      <c r="I584" s="3"/>
      <c r="J584" t="str">
        <f t="shared" si="214"/>
        <v>MARTINS MAINTENANCE INC</v>
      </c>
      <c r="K584" t="str">
        <f t="shared" si="215"/>
        <v>3386044</v>
      </c>
      <c r="L584" s="2" t="s">
        <v>33</v>
      </c>
      <c r="M584" t="str">
        <f>"SVALLANT"</f>
        <v>SVALLANT</v>
      </c>
    </row>
    <row r="585" spans="1:13" ht="45" x14ac:dyDescent="0.25">
      <c r="A585" t="str">
        <f t="shared" si="209"/>
        <v>10</v>
      </c>
      <c r="B585" t="str">
        <f t="shared" si="210"/>
        <v>066</v>
      </c>
      <c r="C585" t="str">
        <f t="shared" si="211"/>
        <v>3010106</v>
      </c>
      <c r="D585" t="str">
        <f t="shared" si="212"/>
        <v>03</v>
      </c>
      <c r="E585" t="str">
        <f t="shared" si="213"/>
        <v>638100</v>
      </c>
      <c r="F585" t="str">
        <f>"02/28/17"</f>
        <v>02/28/17</v>
      </c>
      <c r="G585" t="str">
        <f>"82490"</f>
        <v>82490</v>
      </c>
      <c r="H585" s="4">
        <v>1744.16</v>
      </c>
      <c r="I585" s="3"/>
      <c r="J585" t="str">
        <f t="shared" si="214"/>
        <v>MARTINS MAINTENANCE INC</v>
      </c>
      <c r="K585" t="str">
        <f t="shared" si="215"/>
        <v>3386044</v>
      </c>
      <c r="L585" s="2" t="s">
        <v>32</v>
      </c>
      <c r="M585" t="str">
        <f>"SVALLANT"</f>
        <v>SVALLANT</v>
      </c>
    </row>
    <row r="586" spans="1:13" ht="45" x14ac:dyDescent="0.25">
      <c r="A586" t="str">
        <f t="shared" si="209"/>
        <v>10</v>
      </c>
      <c r="B586" t="str">
        <f t="shared" si="210"/>
        <v>066</v>
      </c>
      <c r="C586" t="str">
        <f t="shared" si="211"/>
        <v>3010106</v>
      </c>
      <c r="D586" t="str">
        <f t="shared" si="212"/>
        <v>03</v>
      </c>
      <c r="E586" t="str">
        <f t="shared" si="213"/>
        <v>638100</v>
      </c>
      <c r="F586" t="str">
        <f>"02/29/16"</f>
        <v>02/29/16</v>
      </c>
      <c r="G586" t="str">
        <f>"76719"</f>
        <v>76719</v>
      </c>
      <c r="H586" s="4">
        <v>1744.16</v>
      </c>
      <c r="I586" s="3"/>
      <c r="J586" t="str">
        <f t="shared" si="214"/>
        <v>MARTINS MAINTENANCE INC</v>
      </c>
      <c r="K586" t="str">
        <f t="shared" si="215"/>
        <v>3386044</v>
      </c>
      <c r="L586" s="2" t="s">
        <v>31</v>
      </c>
      <c r="M586" t="str">
        <f>"JCLARK@M"</f>
        <v>JCLARK@M</v>
      </c>
    </row>
    <row r="587" spans="1:13" ht="45" x14ac:dyDescent="0.25">
      <c r="A587" t="str">
        <f t="shared" si="209"/>
        <v>10</v>
      </c>
      <c r="B587" t="str">
        <f t="shared" si="210"/>
        <v>066</v>
      </c>
      <c r="C587" t="str">
        <f t="shared" si="211"/>
        <v>3010106</v>
      </c>
      <c r="D587" t="str">
        <f t="shared" si="212"/>
        <v>03</v>
      </c>
      <c r="E587" t="str">
        <f t="shared" si="213"/>
        <v>638100</v>
      </c>
      <c r="F587" t="str">
        <f>"03/31/15"</f>
        <v>03/31/15</v>
      </c>
      <c r="G587" t="str">
        <f>"72049"</f>
        <v>72049</v>
      </c>
      <c r="H587" s="4">
        <v>348.79</v>
      </c>
      <c r="I587" s="3"/>
      <c r="J587" t="str">
        <f t="shared" si="214"/>
        <v>MARTINS MAINTENANCE INC</v>
      </c>
      <c r="K587" t="str">
        <f t="shared" si="215"/>
        <v>3386044</v>
      </c>
      <c r="L587" s="2" t="s">
        <v>33</v>
      </c>
      <c r="M587" t="str">
        <f>"JCLARK@M"</f>
        <v>JCLARK@M</v>
      </c>
    </row>
    <row r="588" spans="1:13" ht="45" x14ac:dyDescent="0.25">
      <c r="A588" t="str">
        <f t="shared" si="209"/>
        <v>10</v>
      </c>
      <c r="B588" t="str">
        <f t="shared" si="210"/>
        <v>066</v>
      </c>
      <c r="C588" t="str">
        <f t="shared" si="211"/>
        <v>3010106</v>
      </c>
      <c r="D588" t="str">
        <f t="shared" si="212"/>
        <v>03</v>
      </c>
      <c r="E588" t="str">
        <f t="shared" si="213"/>
        <v>638100</v>
      </c>
      <c r="F588" t="str">
        <f>"03/31/16"</f>
        <v>03/31/16</v>
      </c>
      <c r="G588" t="str">
        <f>"77064"</f>
        <v>77064</v>
      </c>
      <c r="H588" s="4">
        <v>1744.16</v>
      </c>
      <c r="I588" s="3"/>
      <c r="J588" t="str">
        <f t="shared" si="214"/>
        <v>MARTINS MAINTENANCE INC</v>
      </c>
      <c r="K588" t="str">
        <f t="shared" si="215"/>
        <v>3386044</v>
      </c>
      <c r="L588" s="2" t="s">
        <v>31</v>
      </c>
      <c r="M588" t="str">
        <f>"SVALLANT"</f>
        <v>SVALLANT</v>
      </c>
    </row>
    <row r="589" spans="1:13" ht="45" x14ac:dyDescent="0.25">
      <c r="A589" t="str">
        <f t="shared" si="209"/>
        <v>10</v>
      </c>
      <c r="B589" t="str">
        <f t="shared" si="210"/>
        <v>066</v>
      </c>
      <c r="C589" t="str">
        <f t="shared" si="211"/>
        <v>3010106</v>
      </c>
      <c r="D589" t="str">
        <f t="shared" si="212"/>
        <v>03</v>
      </c>
      <c r="E589" t="str">
        <f t="shared" si="213"/>
        <v>638100</v>
      </c>
      <c r="F589" t="str">
        <f>"03/31/17"</f>
        <v>03/31/17</v>
      </c>
      <c r="G589" t="str">
        <f>"82989"</f>
        <v>82989</v>
      </c>
      <c r="H589" s="4">
        <v>1744.16</v>
      </c>
      <c r="I589" s="3"/>
      <c r="J589" t="str">
        <f t="shared" si="214"/>
        <v>MARTINS MAINTENANCE INC</v>
      </c>
      <c r="K589" t="str">
        <f t="shared" si="215"/>
        <v>3386044</v>
      </c>
      <c r="L589" s="2" t="s">
        <v>32</v>
      </c>
      <c r="M589" t="str">
        <f>"JCLARK@M"</f>
        <v>JCLARK@M</v>
      </c>
    </row>
    <row r="590" spans="1:13" ht="45" x14ac:dyDescent="0.25">
      <c r="A590" t="str">
        <f t="shared" si="209"/>
        <v>10</v>
      </c>
      <c r="B590" t="str">
        <f t="shared" si="210"/>
        <v>066</v>
      </c>
      <c r="C590" t="str">
        <f t="shared" si="211"/>
        <v>3010106</v>
      </c>
      <c r="D590" t="str">
        <f t="shared" si="212"/>
        <v>03</v>
      </c>
      <c r="E590" t="str">
        <f t="shared" si="213"/>
        <v>638100</v>
      </c>
      <c r="F590" t="str">
        <f>"04/30/15"</f>
        <v>04/30/15</v>
      </c>
      <c r="G590" t="str">
        <f>"72427"</f>
        <v>72427</v>
      </c>
      <c r="H590" s="4">
        <v>348.79</v>
      </c>
      <c r="I590" s="3"/>
      <c r="J590" t="str">
        <f t="shared" si="214"/>
        <v>MARTINS MAINTENANCE INC</v>
      </c>
      <c r="K590" t="str">
        <f t="shared" si="215"/>
        <v>3386044</v>
      </c>
      <c r="L590" s="2" t="s">
        <v>33</v>
      </c>
      <c r="M590" t="str">
        <f>"JCLARK@M"</f>
        <v>JCLARK@M</v>
      </c>
    </row>
    <row r="591" spans="1:13" ht="45" x14ac:dyDescent="0.25">
      <c r="A591" t="str">
        <f t="shared" si="209"/>
        <v>10</v>
      </c>
      <c r="B591" t="str">
        <f t="shared" si="210"/>
        <v>066</v>
      </c>
      <c r="C591" t="str">
        <f t="shared" si="211"/>
        <v>3010106</v>
      </c>
      <c r="D591" t="str">
        <f t="shared" si="212"/>
        <v>03</v>
      </c>
      <c r="E591" t="str">
        <f t="shared" si="213"/>
        <v>638100</v>
      </c>
      <c r="F591" t="str">
        <f>"04/30/16"</f>
        <v>04/30/16</v>
      </c>
      <c r="G591" t="str">
        <f>"77644"</f>
        <v>77644</v>
      </c>
      <c r="H591" s="4">
        <v>1744.16</v>
      </c>
      <c r="I591" s="3"/>
      <c r="J591" t="str">
        <f t="shared" si="214"/>
        <v>MARTINS MAINTENANCE INC</v>
      </c>
      <c r="K591" t="str">
        <f t="shared" si="215"/>
        <v>3386044</v>
      </c>
      <c r="L591" s="2" t="s">
        <v>31</v>
      </c>
      <c r="M591" t="str">
        <f>"SVALLANT"</f>
        <v>SVALLANT</v>
      </c>
    </row>
    <row r="592" spans="1:13" ht="45" x14ac:dyDescent="0.25">
      <c r="A592" t="str">
        <f t="shared" si="209"/>
        <v>10</v>
      </c>
      <c r="B592" t="str">
        <f t="shared" si="210"/>
        <v>066</v>
      </c>
      <c r="C592" t="str">
        <f t="shared" si="211"/>
        <v>3010106</v>
      </c>
      <c r="D592" t="str">
        <f t="shared" si="212"/>
        <v>03</v>
      </c>
      <c r="E592" t="str">
        <f t="shared" si="213"/>
        <v>638100</v>
      </c>
      <c r="F592" t="str">
        <f>"04/30/17"</f>
        <v>04/30/17</v>
      </c>
      <c r="G592" t="str">
        <f>"83463"</f>
        <v>83463</v>
      </c>
      <c r="H592" s="4">
        <v>1744.16</v>
      </c>
      <c r="I592" s="3"/>
      <c r="J592" t="str">
        <f t="shared" si="214"/>
        <v>MARTINS MAINTENANCE INC</v>
      </c>
      <c r="K592" t="str">
        <f t="shared" si="215"/>
        <v>3386044</v>
      </c>
      <c r="L592" s="2" t="s">
        <v>32</v>
      </c>
      <c r="M592" t="str">
        <f>"JCLARK@M"</f>
        <v>JCLARK@M</v>
      </c>
    </row>
    <row r="593" spans="1:13" ht="45" x14ac:dyDescent="0.25">
      <c r="A593" t="str">
        <f t="shared" si="209"/>
        <v>10</v>
      </c>
      <c r="B593" t="str">
        <f t="shared" si="210"/>
        <v>066</v>
      </c>
      <c r="C593" t="str">
        <f t="shared" si="211"/>
        <v>3010106</v>
      </c>
      <c r="D593" t="str">
        <f t="shared" si="212"/>
        <v>03</v>
      </c>
      <c r="E593" t="str">
        <f t="shared" si="213"/>
        <v>638100</v>
      </c>
      <c r="F593" t="str">
        <f>"05/31/16"</f>
        <v>05/31/16</v>
      </c>
      <c r="G593" t="str">
        <f>"77953"</f>
        <v>77953</v>
      </c>
      <c r="H593" s="4">
        <v>1744.16</v>
      </c>
      <c r="I593" s="3"/>
      <c r="J593" t="str">
        <f t="shared" si="214"/>
        <v>MARTINS MAINTENANCE INC</v>
      </c>
      <c r="K593" t="str">
        <f t="shared" si="215"/>
        <v>3386044</v>
      </c>
      <c r="L593" s="2" t="s">
        <v>31</v>
      </c>
      <c r="M593" t="str">
        <f>"JCLARK@M"</f>
        <v>JCLARK@M</v>
      </c>
    </row>
    <row r="594" spans="1:13" ht="45" x14ac:dyDescent="0.25">
      <c r="A594" t="str">
        <f t="shared" si="209"/>
        <v>10</v>
      </c>
      <c r="B594" t="str">
        <f t="shared" si="210"/>
        <v>066</v>
      </c>
      <c r="C594" t="str">
        <f t="shared" si="211"/>
        <v>3010106</v>
      </c>
      <c r="D594" t="str">
        <f t="shared" si="212"/>
        <v>03</v>
      </c>
      <c r="E594" t="str">
        <f t="shared" si="213"/>
        <v>638100</v>
      </c>
      <c r="F594" t="str">
        <f>"05/31/17"</f>
        <v>05/31/17</v>
      </c>
      <c r="G594" t="str">
        <f>"83846"</f>
        <v>83846</v>
      </c>
      <c r="H594" s="4">
        <v>1744.16</v>
      </c>
      <c r="I594" s="3"/>
      <c r="J594" t="str">
        <f t="shared" si="214"/>
        <v>MARTINS MAINTENANCE INC</v>
      </c>
      <c r="K594" t="str">
        <f t="shared" si="215"/>
        <v>3386044</v>
      </c>
      <c r="L594" s="2" t="s">
        <v>32</v>
      </c>
      <c r="M594" t="str">
        <f>"JCLARK@M"</f>
        <v>JCLARK@M</v>
      </c>
    </row>
    <row r="595" spans="1:13" ht="45" x14ac:dyDescent="0.25">
      <c r="A595" t="str">
        <f t="shared" si="209"/>
        <v>10</v>
      </c>
      <c r="B595" t="str">
        <f t="shared" si="210"/>
        <v>066</v>
      </c>
      <c r="C595" t="str">
        <f t="shared" si="211"/>
        <v>3010106</v>
      </c>
      <c r="D595" t="str">
        <f t="shared" si="212"/>
        <v>03</v>
      </c>
      <c r="E595" t="str">
        <f t="shared" si="213"/>
        <v>638100</v>
      </c>
      <c r="F595" t="str">
        <f>"06/30/15"</f>
        <v>06/30/15</v>
      </c>
      <c r="G595" t="str">
        <f>"72852"</f>
        <v>72852</v>
      </c>
      <c r="H595" s="4">
        <v>1046.3699999999999</v>
      </c>
      <c r="I595" s="3"/>
      <c r="J595" t="str">
        <f t="shared" si="214"/>
        <v>MARTINS MAINTENANCE INC</v>
      </c>
      <c r="K595" t="str">
        <f t="shared" si="215"/>
        <v>3386044</v>
      </c>
      <c r="L595" s="2" t="s">
        <v>33</v>
      </c>
      <c r="M595" t="str">
        <f>"JCLARK@M"</f>
        <v>JCLARK@M</v>
      </c>
    </row>
    <row r="596" spans="1:13" ht="45" x14ac:dyDescent="0.25">
      <c r="A596" t="str">
        <f t="shared" si="209"/>
        <v>10</v>
      </c>
      <c r="B596" t="str">
        <f t="shared" si="210"/>
        <v>066</v>
      </c>
      <c r="C596" t="str">
        <f t="shared" si="211"/>
        <v>3010106</v>
      </c>
      <c r="D596" t="str">
        <f t="shared" si="212"/>
        <v>03</v>
      </c>
      <c r="E596" t="str">
        <f t="shared" si="213"/>
        <v>638100</v>
      </c>
      <c r="F596" t="str">
        <f>"06/30/15"</f>
        <v>06/30/15</v>
      </c>
      <c r="G596" t="str">
        <f>"73296"</f>
        <v>73296</v>
      </c>
      <c r="H596" s="4">
        <v>511.18</v>
      </c>
      <c r="I596" s="3"/>
      <c r="J596" t="str">
        <f t="shared" si="214"/>
        <v>MARTINS MAINTENANCE INC</v>
      </c>
      <c r="K596" t="str">
        <f t="shared" si="215"/>
        <v>3386044</v>
      </c>
      <c r="L596" s="2" t="s">
        <v>33</v>
      </c>
      <c r="M596" t="str">
        <f>"SVALLANT"</f>
        <v>SVALLANT</v>
      </c>
    </row>
    <row r="597" spans="1:13" ht="45" x14ac:dyDescent="0.25">
      <c r="A597" t="str">
        <f t="shared" si="209"/>
        <v>10</v>
      </c>
      <c r="B597" t="str">
        <f t="shared" si="210"/>
        <v>066</v>
      </c>
      <c r="C597" t="str">
        <f t="shared" si="211"/>
        <v>3010106</v>
      </c>
      <c r="D597" t="str">
        <f t="shared" si="212"/>
        <v>03</v>
      </c>
      <c r="E597" t="str">
        <f t="shared" si="213"/>
        <v>638100</v>
      </c>
      <c r="F597" t="str">
        <f>"06/30/15"</f>
        <v>06/30/15</v>
      </c>
      <c r="G597" t="str">
        <f>"73296"</f>
        <v>73296</v>
      </c>
      <c r="H597" s="4">
        <v>535.19000000000005</v>
      </c>
      <c r="I597" s="3"/>
      <c r="J597" t="str">
        <f t="shared" si="214"/>
        <v>MARTINS MAINTENANCE INC</v>
      </c>
      <c r="K597" t="str">
        <f t="shared" si="215"/>
        <v>3386044</v>
      </c>
      <c r="L597" s="2" t="s">
        <v>33</v>
      </c>
      <c r="M597" t="str">
        <f>"SVALLANT"</f>
        <v>SVALLANT</v>
      </c>
    </row>
    <row r="598" spans="1:13" ht="45" x14ac:dyDescent="0.25">
      <c r="A598" t="str">
        <f t="shared" si="209"/>
        <v>10</v>
      </c>
      <c r="B598" t="str">
        <f t="shared" si="210"/>
        <v>066</v>
      </c>
      <c r="C598" t="str">
        <f t="shared" si="211"/>
        <v>3010106</v>
      </c>
      <c r="D598" t="str">
        <f t="shared" si="212"/>
        <v>03</v>
      </c>
      <c r="E598" t="str">
        <f t="shared" si="213"/>
        <v>638100</v>
      </c>
      <c r="F598" t="str">
        <f>"06/30/15"</f>
        <v>06/30/15</v>
      </c>
      <c r="G598" t="str">
        <f>"73804"</f>
        <v>73804</v>
      </c>
      <c r="H598" s="4">
        <v>1046.3699999999999</v>
      </c>
      <c r="I598" s="3"/>
      <c r="J598" t="str">
        <f t="shared" si="214"/>
        <v>MARTINS MAINTENANCE INC</v>
      </c>
      <c r="K598" t="str">
        <f t="shared" si="215"/>
        <v>3386044</v>
      </c>
      <c r="L598" s="2" t="s">
        <v>33</v>
      </c>
      <c r="M598" t="str">
        <f>"SVALLANT"</f>
        <v>SVALLANT</v>
      </c>
    </row>
    <row r="599" spans="1:13" ht="45" x14ac:dyDescent="0.25">
      <c r="A599" t="str">
        <f t="shared" si="209"/>
        <v>10</v>
      </c>
      <c r="B599" t="str">
        <f t="shared" si="210"/>
        <v>066</v>
      </c>
      <c r="C599" t="str">
        <f t="shared" si="211"/>
        <v>3010106</v>
      </c>
      <c r="D599" t="str">
        <f t="shared" si="212"/>
        <v>03</v>
      </c>
      <c r="E599" t="str">
        <f t="shared" si="213"/>
        <v>638100</v>
      </c>
      <c r="F599" t="str">
        <f>"06/30/16"</f>
        <v>06/30/16</v>
      </c>
      <c r="G599" t="str">
        <f>"78437"</f>
        <v>78437</v>
      </c>
      <c r="H599" s="4">
        <v>1744.16</v>
      </c>
      <c r="I599" s="3"/>
      <c r="J599" t="str">
        <f t="shared" si="214"/>
        <v>MARTINS MAINTENANCE INC</v>
      </c>
      <c r="K599" t="str">
        <f t="shared" si="215"/>
        <v>3386044</v>
      </c>
      <c r="L599" s="2" t="s">
        <v>31</v>
      </c>
      <c r="M599" t="str">
        <f>"SVALLANT"</f>
        <v>SVALLANT</v>
      </c>
    </row>
    <row r="600" spans="1:13" ht="45" x14ac:dyDescent="0.25">
      <c r="A600" t="str">
        <f t="shared" si="209"/>
        <v>10</v>
      </c>
      <c r="B600" t="str">
        <f t="shared" si="210"/>
        <v>066</v>
      </c>
      <c r="C600" t="str">
        <f t="shared" si="211"/>
        <v>3010106</v>
      </c>
      <c r="D600" t="str">
        <f t="shared" si="212"/>
        <v>03</v>
      </c>
      <c r="E600" t="str">
        <f t="shared" si="213"/>
        <v>638100</v>
      </c>
      <c r="F600" t="str">
        <f>"06/30/16"</f>
        <v>06/30/16</v>
      </c>
      <c r="G600" t="str">
        <f>"78880"</f>
        <v>78880</v>
      </c>
      <c r="H600" s="4">
        <v>1744.16</v>
      </c>
      <c r="I600" s="3"/>
      <c r="J600" t="str">
        <f t="shared" si="214"/>
        <v>MARTINS MAINTENANCE INC</v>
      </c>
      <c r="K600" t="str">
        <f t="shared" si="215"/>
        <v>3386044</v>
      </c>
      <c r="L600" s="2" t="s">
        <v>31</v>
      </c>
      <c r="M600" t="str">
        <f t="shared" ref="M600:M613" si="216">"JCLARK@M"</f>
        <v>JCLARK@M</v>
      </c>
    </row>
    <row r="601" spans="1:13" ht="45" x14ac:dyDescent="0.25">
      <c r="A601" t="str">
        <f t="shared" si="209"/>
        <v>10</v>
      </c>
      <c r="B601" t="str">
        <f t="shared" si="210"/>
        <v>066</v>
      </c>
      <c r="C601" t="str">
        <f t="shared" si="211"/>
        <v>3010106</v>
      </c>
      <c r="D601" t="str">
        <f t="shared" si="212"/>
        <v>03</v>
      </c>
      <c r="E601" t="str">
        <f t="shared" si="213"/>
        <v>638100</v>
      </c>
      <c r="F601" t="str">
        <f>"06/30/17"</f>
        <v>06/30/17</v>
      </c>
      <c r="G601" t="str">
        <f>"84475"</f>
        <v>84475</v>
      </c>
      <c r="H601" s="4">
        <v>1744.16</v>
      </c>
      <c r="I601" s="3"/>
      <c r="J601" t="str">
        <f t="shared" si="214"/>
        <v>MARTINS MAINTENANCE INC</v>
      </c>
      <c r="K601" t="str">
        <f t="shared" si="215"/>
        <v>3386044</v>
      </c>
      <c r="L601" s="2" t="s">
        <v>32</v>
      </c>
      <c r="M601" t="str">
        <f t="shared" si="216"/>
        <v>JCLARK@M</v>
      </c>
    </row>
    <row r="602" spans="1:13" ht="45" x14ac:dyDescent="0.25">
      <c r="A602" t="str">
        <f t="shared" si="209"/>
        <v>10</v>
      </c>
      <c r="B602" t="str">
        <f t="shared" si="210"/>
        <v>066</v>
      </c>
      <c r="C602" t="str">
        <f t="shared" si="211"/>
        <v>3010106</v>
      </c>
      <c r="D602" t="str">
        <f t="shared" si="212"/>
        <v>03</v>
      </c>
      <c r="E602" t="str">
        <f t="shared" si="213"/>
        <v>638100</v>
      </c>
      <c r="F602" t="str">
        <f>"06/30/17"</f>
        <v>06/30/17</v>
      </c>
      <c r="G602" t="str">
        <f>"84893"</f>
        <v>84893</v>
      </c>
      <c r="H602" s="4">
        <v>1744.16</v>
      </c>
      <c r="I602" s="3"/>
      <c r="J602" t="str">
        <f t="shared" si="214"/>
        <v>MARTINS MAINTENANCE INC</v>
      </c>
      <c r="K602" t="str">
        <f t="shared" si="215"/>
        <v>3386044</v>
      </c>
      <c r="L602" s="2" t="s">
        <v>32</v>
      </c>
      <c r="M602" t="str">
        <f t="shared" si="216"/>
        <v>JCLARK@M</v>
      </c>
    </row>
    <row r="603" spans="1:13" ht="45" x14ac:dyDescent="0.25">
      <c r="A603" t="str">
        <f t="shared" si="209"/>
        <v>10</v>
      </c>
      <c r="B603" t="str">
        <f t="shared" si="210"/>
        <v>066</v>
      </c>
      <c r="C603" t="str">
        <f t="shared" si="211"/>
        <v>3010106</v>
      </c>
      <c r="D603" t="str">
        <f t="shared" si="212"/>
        <v>03</v>
      </c>
      <c r="E603" t="str">
        <f t="shared" si="213"/>
        <v>638100</v>
      </c>
      <c r="F603" t="str">
        <f>"08/31/15"</f>
        <v>08/31/15</v>
      </c>
      <c r="G603" t="str">
        <f>"74126"</f>
        <v>74126</v>
      </c>
      <c r="H603" s="4">
        <v>1744.16</v>
      </c>
      <c r="I603" s="3"/>
      <c r="J603" t="str">
        <f t="shared" si="214"/>
        <v>MARTINS MAINTENANCE INC</v>
      </c>
      <c r="K603" t="str">
        <f t="shared" si="215"/>
        <v>3386044</v>
      </c>
      <c r="L603" s="2" t="s">
        <v>31</v>
      </c>
      <c r="M603" t="str">
        <f t="shared" si="216"/>
        <v>JCLARK@M</v>
      </c>
    </row>
    <row r="604" spans="1:13" ht="45" x14ac:dyDescent="0.25">
      <c r="A604" t="str">
        <f t="shared" si="209"/>
        <v>10</v>
      </c>
      <c r="B604" t="str">
        <f t="shared" si="210"/>
        <v>066</v>
      </c>
      <c r="C604" t="str">
        <f t="shared" si="211"/>
        <v>3010106</v>
      </c>
      <c r="D604" t="str">
        <f t="shared" si="212"/>
        <v>03</v>
      </c>
      <c r="E604" t="str">
        <f t="shared" si="213"/>
        <v>638100</v>
      </c>
      <c r="F604" t="str">
        <f>"09/30/15"</f>
        <v>09/30/15</v>
      </c>
      <c r="G604" t="str">
        <f>"74616"</f>
        <v>74616</v>
      </c>
      <c r="H604" s="4">
        <v>1744.16</v>
      </c>
      <c r="I604" s="3"/>
      <c r="J604" t="str">
        <f t="shared" si="214"/>
        <v>MARTINS MAINTENANCE INC</v>
      </c>
      <c r="K604" t="str">
        <f t="shared" si="215"/>
        <v>3386044</v>
      </c>
      <c r="L604" s="2" t="s">
        <v>31</v>
      </c>
      <c r="M604" t="str">
        <f t="shared" si="216"/>
        <v>JCLARK@M</v>
      </c>
    </row>
    <row r="605" spans="1:13" ht="45" x14ac:dyDescent="0.25">
      <c r="A605" t="str">
        <f t="shared" si="209"/>
        <v>10</v>
      </c>
      <c r="B605" t="str">
        <f t="shared" si="210"/>
        <v>066</v>
      </c>
      <c r="C605" t="str">
        <f t="shared" si="211"/>
        <v>3010106</v>
      </c>
      <c r="D605" t="str">
        <f t="shared" si="212"/>
        <v>03</v>
      </c>
      <c r="E605" t="str">
        <f t="shared" si="213"/>
        <v>638100</v>
      </c>
      <c r="F605" t="str">
        <f>"09/30/16"</f>
        <v>09/30/16</v>
      </c>
      <c r="G605" t="str">
        <f>"79295"</f>
        <v>79295</v>
      </c>
      <c r="H605" s="4">
        <v>1744.16</v>
      </c>
      <c r="I605" s="3"/>
      <c r="J605" t="str">
        <f t="shared" si="214"/>
        <v>MARTINS MAINTENANCE INC</v>
      </c>
      <c r="K605" t="str">
        <f t="shared" si="215"/>
        <v>3386044</v>
      </c>
      <c r="L605" s="2" t="s">
        <v>32</v>
      </c>
      <c r="M605" t="str">
        <f t="shared" si="216"/>
        <v>JCLARK@M</v>
      </c>
    </row>
    <row r="606" spans="1:13" ht="45" x14ac:dyDescent="0.25">
      <c r="A606" t="str">
        <f t="shared" si="209"/>
        <v>10</v>
      </c>
      <c r="B606" t="str">
        <f t="shared" si="210"/>
        <v>066</v>
      </c>
      <c r="C606" t="str">
        <f t="shared" si="211"/>
        <v>3010106</v>
      </c>
      <c r="D606" t="str">
        <f t="shared" si="212"/>
        <v>03</v>
      </c>
      <c r="E606" t="str">
        <f t="shared" si="213"/>
        <v>638100</v>
      </c>
      <c r="F606" t="str">
        <f>"09/30/16"</f>
        <v>09/30/16</v>
      </c>
      <c r="G606" t="str">
        <f>"79949"</f>
        <v>79949</v>
      </c>
      <c r="H606" s="4">
        <v>1744.16</v>
      </c>
      <c r="I606" s="3"/>
      <c r="J606" t="str">
        <f t="shared" si="214"/>
        <v>MARTINS MAINTENANCE INC</v>
      </c>
      <c r="K606" t="str">
        <f t="shared" si="215"/>
        <v>3386044</v>
      </c>
      <c r="L606" s="2" t="s">
        <v>32</v>
      </c>
      <c r="M606" t="str">
        <f t="shared" si="216"/>
        <v>JCLARK@M</v>
      </c>
    </row>
    <row r="607" spans="1:13" ht="45" x14ac:dyDescent="0.25">
      <c r="A607" t="str">
        <f t="shared" si="209"/>
        <v>10</v>
      </c>
      <c r="B607" t="str">
        <f t="shared" si="210"/>
        <v>066</v>
      </c>
      <c r="C607" t="str">
        <f t="shared" si="211"/>
        <v>3010106</v>
      </c>
      <c r="D607" t="str">
        <f t="shared" si="212"/>
        <v>03</v>
      </c>
      <c r="E607" t="str">
        <f t="shared" si="213"/>
        <v>638100</v>
      </c>
      <c r="F607" t="str">
        <f>"10/31/15"</f>
        <v>10/31/15</v>
      </c>
      <c r="G607" t="str">
        <f>"74945"</f>
        <v>74945</v>
      </c>
      <c r="H607" s="4">
        <v>1744.16</v>
      </c>
      <c r="I607" s="3"/>
      <c r="J607" t="str">
        <f t="shared" si="214"/>
        <v>MARTINS MAINTENANCE INC</v>
      </c>
      <c r="K607" t="str">
        <f t="shared" si="215"/>
        <v>3386044</v>
      </c>
      <c r="L607" s="2" t="s">
        <v>31</v>
      </c>
      <c r="M607" t="str">
        <f t="shared" si="216"/>
        <v>JCLARK@M</v>
      </c>
    </row>
    <row r="608" spans="1:13" ht="45" x14ac:dyDescent="0.25">
      <c r="A608" t="str">
        <f t="shared" si="209"/>
        <v>10</v>
      </c>
      <c r="B608" t="str">
        <f t="shared" si="210"/>
        <v>066</v>
      </c>
      <c r="C608" t="str">
        <f t="shared" si="211"/>
        <v>3010106</v>
      </c>
      <c r="D608" t="str">
        <f t="shared" si="212"/>
        <v>03</v>
      </c>
      <c r="E608" t="str">
        <f t="shared" si="213"/>
        <v>638100</v>
      </c>
      <c r="F608" t="str">
        <f>"10/31/16"</f>
        <v>10/31/16</v>
      </c>
      <c r="G608" t="str">
        <f>"80274"</f>
        <v>80274</v>
      </c>
      <c r="H608" s="4">
        <v>1744.16</v>
      </c>
      <c r="I608" s="3"/>
      <c r="J608" t="str">
        <f t="shared" si="214"/>
        <v>MARTINS MAINTENANCE INC</v>
      </c>
      <c r="K608" t="str">
        <f t="shared" si="215"/>
        <v>3386044</v>
      </c>
      <c r="L608" s="2" t="s">
        <v>32</v>
      </c>
      <c r="M608" t="str">
        <f t="shared" si="216"/>
        <v>JCLARK@M</v>
      </c>
    </row>
    <row r="609" spans="1:13" ht="45" x14ac:dyDescent="0.25">
      <c r="A609" t="str">
        <f t="shared" si="209"/>
        <v>10</v>
      </c>
      <c r="B609" t="str">
        <f t="shared" si="210"/>
        <v>066</v>
      </c>
      <c r="C609" t="str">
        <f t="shared" si="211"/>
        <v>3010106</v>
      </c>
      <c r="D609" t="str">
        <f t="shared" si="212"/>
        <v>03</v>
      </c>
      <c r="E609" t="str">
        <f t="shared" si="213"/>
        <v>638100</v>
      </c>
      <c r="F609" t="str">
        <f>"11/30/15"</f>
        <v>11/30/15</v>
      </c>
      <c r="G609" t="str">
        <f>"75386"</f>
        <v>75386</v>
      </c>
      <c r="H609" s="4">
        <v>1744.16</v>
      </c>
      <c r="I609" s="3"/>
      <c r="J609" t="str">
        <f t="shared" si="214"/>
        <v>MARTINS MAINTENANCE INC</v>
      </c>
      <c r="K609" t="str">
        <f t="shared" si="215"/>
        <v>3386044</v>
      </c>
      <c r="L609" s="2" t="s">
        <v>31</v>
      </c>
      <c r="M609" t="str">
        <f t="shared" si="216"/>
        <v>JCLARK@M</v>
      </c>
    </row>
    <row r="610" spans="1:13" ht="45" x14ac:dyDescent="0.25">
      <c r="A610" t="str">
        <f t="shared" si="209"/>
        <v>10</v>
      </c>
      <c r="B610" t="str">
        <f t="shared" si="210"/>
        <v>066</v>
      </c>
      <c r="C610" t="str">
        <f t="shared" si="211"/>
        <v>3010106</v>
      </c>
      <c r="D610" t="str">
        <f t="shared" si="212"/>
        <v>03</v>
      </c>
      <c r="E610" t="str">
        <f t="shared" si="213"/>
        <v>638100</v>
      </c>
      <c r="F610" t="str">
        <f>"11/30/16"</f>
        <v>11/30/16</v>
      </c>
      <c r="G610" t="str">
        <f>"80912"</f>
        <v>80912</v>
      </c>
      <c r="H610" s="4">
        <v>1744.16</v>
      </c>
      <c r="I610" s="3"/>
      <c r="J610" t="str">
        <f t="shared" si="214"/>
        <v>MARTINS MAINTENANCE INC</v>
      </c>
      <c r="K610" t="str">
        <f t="shared" si="215"/>
        <v>3386044</v>
      </c>
      <c r="L610" s="2" t="s">
        <v>32</v>
      </c>
      <c r="M610" t="str">
        <f t="shared" si="216"/>
        <v>JCLARK@M</v>
      </c>
    </row>
    <row r="611" spans="1:13" ht="45" x14ac:dyDescent="0.25">
      <c r="A611" t="str">
        <f t="shared" si="209"/>
        <v>10</v>
      </c>
      <c r="B611" t="str">
        <f t="shared" si="210"/>
        <v>066</v>
      </c>
      <c r="C611" t="str">
        <f t="shared" si="211"/>
        <v>3010106</v>
      </c>
      <c r="D611" t="str">
        <f t="shared" si="212"/>
        <v>03</v>
      </c>
      <c r="E611" t="str">
        <f t="shared" si="213"/>
        <v>638100</v>
      </c>
      <c r="F611" t="str">
        <f>"12/31/15"</f>
        <v>12/31/15</v>
      </c>
      <c r="G611" t="str">
        <f>"75828"</f>
        <v>75828</v>
      </c>
      <c r="H611" s="4">
        <v>1744.16</v>
      </c>
      <c r="I611" s="3"/>
      <c r="J611" t="str">
        <f t="shared" si="214"/>
        <v>MARTINS MAINTENANCE INC</v>
      </c>
      <c r="K611" t="str">
        <f t="shared" si="215"/>
        <v>3386044</v>
      </c>
      <c r="L611" s="2" t="s">
        <v>31</v>
      </c>
      <c r="M611" t="str">
        <f t="shared" si="216"/>
        <v>JCLARK@M</v>
      </c>
    </row>
    <row r="612" spans="1:13" ht="45" x14ac:dyDescent="0.25">
      <c r="A612" t="str">
        <f t="shared" si="209"/>
        <v>10</v>
      </c>
      <c r="B612" t="str">
        <f t="shared" si="210"/>
        <v>066</v>
      </c>
      <c r="C612" t="str">
        <f t="shared" si="211"/>
        <v>3010106</v>
      </c>
      <c r="D612" t="str">
        <f t="shared" si="212"/>
        <v>03</v>
      </c>
      <c r="E612" t="str">
        <f t="shared" si="213"/>
        <v>638100</v>
      </c>
      <c r="F612" t="str">
        <f>"12/31/16"</f>
        <v>12/31/16</v>
      </c>
      <c r="G612" t="str">
        <f>"81496"</f>
        <v>81496</v>
      </c>
      <c r="H612" s="4">
        <v>1744.16</v>
      </c>
      <c r="I612" s="3"/>
      <c r="J612" t="str">
        <f t="shared" si="214"/>
        <v>MARTINS MAINTENANCE INC</v>
      </c>
      <c r="K612" t="str">
        <f t="shared" si="215"/>
        <v>3386044</v>
      </c>
      <c r="L612" s="2" t="s">
        <v>32</v>
      </c>
      <c r="M612" t="str">
        <f t="shared" si="216"/>
        <v>JCLARK@M</v>
      </c>
    </row>
    <row r="613" spans="1:13" x14ac:dyDescent="0.25">
      <c r="A613" t="str">
        <f t="shared" si="209"/>
        <v>10</v>
      </c>
      <c r="B613" t="str">
        <f t="shared" si="210"/>
        <v>066</v>
      </c>
      <c r="C613" t="str">
        <f t="shared" si="211"/>
        <v>3010106</v>
      </c>
      <c r="D613" t="str">
        <f t="shared" si="212"/>
        <v>03</v>
      </c>
      <c r="E613" t="str">
        <f>"640100"</f>
        <v>640100</v>
      </c>
      <c r="F613" t="str">
        <f>"06/30/14"</f>
        <v>06/30/14</v>
      </c>
      <c r="G613" t="str">
        <f>"69057"</f>
        <v>69057</v>
      </c>
      <c r="H613" s="4">
        <v>700.65</v>
      </c>
      <c r="I613" s="3"/>
      <c r="J613" t="str">
        <f t="shared" si="214"/>
        <v>MARTINS MAINTENANCE INC</v>
      </c>
      <c r="K613" t="str">
        <f>"3380734"</f>
        <v>3380734</v>
      </c>
      <c r="L613" s="2" t="str">
        <f>"wall washing @ 180 2nd and 3rd floor"</f>
        <v>wall washing @ 180 2nd and 3rd floor</v>
      </c>
      <c r="M613" t="str">
        <f t="shared" si="216"/>
        <v>JCLARK@M</v>
      </c>
    </row>
    <row r="614" spans="1:13" x14ac:dyDescent="0.25">
      <c r="A614" t="str">
        <f t="shared" si="0"/>
        <v>10</v>
      </c>
      <c r="B614" t="str">
        <f t="shared" si="5"/>
        <v>066</v>
      </c>
      <c r="C614" t="str">
        <f t="shared" si="6"/>
        <v>3010106</v>
      </c>
      <c r="D614" t="str">
        <f t="shared" si="7"/>
        <v>03</v>
      </c>
      <c r="E614" t="str">
        <f>"638100"</f>
        <v>638100</v>
      </c>
      <c r="F614" t="str">
        <f>"10/26/15"</f>
        <v>10/26/15</v>
      </c>
      <c r="G614" t="str">
        <f>"16066MEF0193"</f>
        <v>16066MEF0193</v>
      </c>
      <c r="H614" s="4">
        <v>-3488.32</v>
      </c>
      <c r="I614" s="3"/>
      <c r="J614" t="str">
        <f>""</f>
        <v/>
      </c>
      <c r="K614" t="str">
        <f>""</f>
        <v/>
      </c>
      <c r="L614" s="2" t="str">
        <f>"CLEANING EXPENSE ADJUSTMENT"</f>
        <v>CLEANING EXPENSE ADJUSTMENT</v>
      </c>
      <c r="M614" t="str">
        <f>"MFUSCO"</f>
        <v>MFUSCO</v>
      </c>
    </row>
    <row r="615" spans="1:13" x14ac:dyDescent="0.25">
      <c r="H615" s="6">
        <f>SUM(H579:H614)</f>
        <v>45164.420000000027</v>
      </c>
      <c r="I615" s="6">
        <f>SUM(H579:H614)</f>
        <v>45164.420000000027</v>
      </c>
      <c r="J615" s="1"/>
      <c r="L615" s="2"/>
    </row>
    <row r="616" spans="1:13" x14ac:dyDescent="0.25">
      <c r="H616" s="3"/>
      <c r="I616" s="3"/>
      <c r="J616" s="1"/>
      <c r="L616" s="2"/>
    </row>
    <row r="617" spans="1:13" x14ac:dyDescent="0.25">
      <c r="A617" t="str">
        <f t="shared" ref="A617:A622" si="217">"10"</f>
        <v>10</v>
      </c>
      <c r="B617" t="str">
        <f t="shared" ref="B617:B622" si="218">"066"</f>
        <v>066</v>
      </c>
      <c r="C617" t="str">
        <f t="shared" ref="C617:C622" si="219">"3010106"</f>
        <v>3010106</v>
      </c>
      <c r="D617" t="str">
        <f t="shared" ref="D617:D622" si="220">"03"</f>
        <v>03</v>
      </c>
      <c r="E617" t="str">
        <f>"643120"</f>
        <v>643120</v>
      </c>
      <c r="F617" t="str">
        <f>"12/31/16"</f>
        <v>12/31/16</v>
      </c>
      <c r="G617" t="str">
        <f>"USA-1223247"</f>
        <v>USA-1223247</v>
      </c>
      <c r="H617" s="3">
        <v>339.98</v>
      </c>
      <c r="I617" s="3"/>
      <c r="J617" s="1" t="str">
        <f t="shared" ref="J617:J622" si="221">"MICROSOFT CORP"</f>
        <v>MICROSOFT CORP</v>
      </c>
      <c r="K617" t="str">
        <f>"3486885"</f>
        <v>3486885</v>
      </c>
      <c r="L617" s="2" t="str">
        <f>"Microsoft Surface Dock c SC EN/XD/XX Hdwr - PD9-00003"</f>
        <v>Microsoft Surface Dock c SC EN/XD/XX Hdwr - PD9-00003</v>
      </c>
    </row>
    <row r="618" spans="1:13" x14ac:dyDescent="0.25">
      <c r="A618" t="str">
        <f t="shared" si="217"/>
        <v>10</v>
      </c>
      <c r="B618" t="str">
        <f t="shared" si="218"/>
        <v>066</v>
      </c>
      <c r="C618" t="str">
        <f t="shared" si="219"/>
        <v>3010106</v>
      </c>
      <c r="D618" t="str">
        <f t="shared" si="220"/>
        <v>03</v>
      </c>
      <c r="E618" t="str">
        <f>"643120"</f>
        <v>643120</v>
      </c>
      <c r="F618" t="str">
        <f>"12/31/16"</f>
        <v>12/31/16</v>
      </c>
      <c r="G618" t="str">
        <f>"USA-1223247"</f>
        <v>USA-1223247</v>
      </c>
      <c r="H618" s="3">
        <v>152.97</v>
      </c>
      <c r="I618" s="3"/>
      <c r="J618" s="1" t="str">
        <f t="shared" si="221"/>
        <v>MICROSOFT CORP</v>
      </c>
      <c r="K618" t="str">
        <f>"3486885"</f>
        <v>3486885</v>
      </c>
      <c r="L618" s="2" t="str">
        <f>"Microsoft Surface Pen V3 SC EN/XD/ES Hdwr Black - 3XY-00011"</f>
        <v>Microsoft Surface Pen V3 SC EN/XD/ES Hdwr Black - 3XY-00011</v>
      </c>
      <c r="M618" t="str">
        <f>"SVALLANT"</f>
        <v>SVALLANT</v>
      </c>
    </row>
    <row r="619" spans="1:13" x14ac:dyDescent="0.25">
      <c r="A619" t="str">
        <f t="shared" si="217"/>
        <v>10</v>
      </c>
      <c r="B619" t="str">
        <f t="shared" si="218"/>
        <v>066</v>
      </c>
      <c r="C619" t="str">
        <f t="shared" si="219"/>
        <v>3010106</v>
      </c>
      <c r="D619" t="str">
        <f t="shared" si="220"/>
        <v>03</v>
      </c>
      <c r="E619" t="str">
        <f>"643120"</f>
        <v>643120</v>
      </c>
      <c r="F619" t="str">
        <f>"12/31/16"</f>
        <v>12/31/16</v>
      </c>
      <c r="G619" t="str">
        <f>"USA-1223247"</f>
        <v>USA-1223247</v>
      </c>
      <c r="H619" s="3">
        <v>101.97</v>
      </c>
      <c r="I619" s="3"/>
      <c r="J619" s="1" t="str">
        <f t="shared" si="221"/>
        <v>MICROSOFT CORP</v>
      </c>
      <c r="K619" t="str">
        <f>"3486885"</f>
        <v>3486885</v>
      </c>
      <c r="L619" s="2" t="str">
        <f>"Microsoft Ethernet Adaptor 3.0 CAA SC EN/XD/XX Hdwr - F5U-00021"</f>
        <v>Microsoft Ethernet Adaptor 3.0 CAA SC EN/XD/XX Hdwr - F5U-00021</v>
      </c>
      <c r="M619" t="str">
        <f>"SVALLANT"</f>
        <v>SVALLANT</v>
      </c>
    </row>
    <row r="620" spans="1:13" x14ac:dyDescent="0.25">
      <c r="A620" t="str">
        <f t="shared" si="217"/>
        <v>10</v>
      </c>
      <c r="B620" t="str">
        <f t="shared" si="218"/>
        <v>066</v>
      </c>
      <c r="C620" t="str">
        <f t="shared" si="219"/>
        <v>3010106</v>
      </c>
      <c r="D620" t="str">
        <f t="shared" si="220"/>
        <v>03</v>
      </c>
      <c r="E620" t="str">
        <f>"661701"</f>
        <v>661701</v>
      </c>
      <c r="F620" t="str">
        <f>"10/31/16"</f>
        <v>10/31/16</v>
      </c>
      <c r="G620" t="str">
        <f>"USA-0613492"</f>
        <v>USA-0613492</v>
      </c>
      <c r="H620" s="3">
        <v>7199.94</v>
      </c>
      <c r="I620" s="3"/>
      <c r="J620" s="1" t="str">
        <f t="shared" si="221"/>
        <v>MICROSOFT CORP</v>
      </c>
      <c r="K620" t="str">
        <f>"3490574"</f>
        <v>3490574</v>
      </c>
      <c r="L620" s="2" t="str">
        <f>"Surface Pro 4 i5 256gb 8gb"</f>
        <v>Surface Pro 4 i5 256gb 8gb</v>
      </c>
      <c r="M620" t="str">
        <f>"SVALLANT"</f>
        <v>SVALLANT</v>
      </c>
    </row>
    <row r="621" spans="1:13" x14ac:dyDescent="0.25">
      <c r="A621" t="str">
        <f t="shared" si="217"/>
        <v>10</v>
      </c>
      <c r="B621" t="str">
        <f t="shared" si="218"/>
        <v>066</v>
      </c>
      <c r="C621" t="str">
        <f t="shared" si="219"/>
        <v>3010106</v>
      </c>
      <c r="D621" t="str">
        <f t="shared" si="220"/>
        <v>03</v>
      </c>
      <c r="E621" t="str">
        <f>"661701"</f>
        <v>661701</v>
      </c>
      <c r="F621" t="str">
        <f>"10/31/16"</f>
        <v>10/31/16</v>
      </c>
      <c r="G621" t="str">
        <f>"USA-0613492"</f>
        <v>USA-0613492</v>
      </c>
      <c r="H621" s="3">
        <v>617.45000000000005</v>
      </c>
      <c r="I621" s="3"/>
      <c r="J621" s="1" t="str">
        <f t="shared" si="221"/>
        <v>MICROSOFT CORP</v>
      </c>
      <c r="K621" t="str">
        <f>"3490574"</f>
        <v>3490574</v>
      </c>
      <c r="L621" s="2" t="str">
        <f>"Surface Pro 4 Keyboard cover"</f>
        <v>Surface Pro 4 Keyboard cover</v>
      </c>
      <c r="M621" t="str">
        <f>"MFUSCO"</f>
        <v>MFUSCO</v>
      </c>
    </row>
    <row r="622" spans="1:13" x14ac:dyDescent="0.25">
      <c r="A622" t="str">
        <f t="shared" si="217"/>
        <v>10</v>
      </c>
      <c r="B622" t="str">
        <f t="shared" si="218"/>
        <v>066</v>
      </c>
      <c r="C622" t="str">
        <f t="shared" si="219"/>
        <v>3010106</v>
      </c>
      <c r="D622" t="str">
        <f t="shared" si="220"/>
        <v>03</v>
      </c>
      <c r="E622" t="str">
        <f>"661701"</f>
        <v>661701</v>
      </c>
      <c r="F622" t="str">
        <f>"10/31/16"</f>
        <v>10/31/16</v>
      </c>
      <c r="G622" t="str">
        <f>"USA-0613492"</f>
        <v>USA-0613492</v>
      </c>
      <c r="H622" s="7">
        <v>151.99</v>
      </c>
      <c r="I622" s="7"/>
      <c r="J622" s="1" t="str">
        <f t="shared" si="221"/>
        <v>MICROSOFT CORP</v>
      </c>
      <c r="K622" t="str">
        <f>"3490574"</f>
        <v>3490574</v>
      </c>
      <c r="L622" s="2" t="str">
        <f>"Surface Pro 4 Keyboard-Cover w/Fingerprint"</f>
        <v>Surface Pro 4 Keyboard-Cover w/Fingerprint</v>
      </c>
      <c r="M622" t="str">
        <f>"MFUSCO"</f>
        <v>MFUSCO</v>
      </c>
    </row>
    <row r="623" spans="1:13" x14ac:dyDescent="0.25">
      <c r="H623" s="6">
        <f>SUM(H617:H622)</f>
        <v>8564.2999999999993</v>
      </c>
      <c r="I623" s="6">
        <f>SUM(H617:H622)</f>
        <v>8564.2999999999993</v>
      </c>
      <c r="J623" s="1"/>
      <c r="L623" s="2"/>
      <c r="M623" t="str">
        <f>"MFUSCO"</f>
        <v>MFUSCO</v>
      </c>
    </row>
    <row r="624" spans="1:13" x14ac:dyDescent="0.25">
      <c r="H624" s="3"/>
      <c r="I624" s="3"/>
      <c r="J624" s="1"/>
      <c r="L624" s="2"/>
    </row>
    <row r="625" spans="1:13" x14ac:dyDescent="0.25">
      <c r="A625" t="str">
        <f>"10"</f>
        <v>10</v>
      </c>
      <c r="B625" t="str">
        <f>"066"</f>
        <v>066</v>
      </c>
      <c r="C625" t="str">
        <f>"3010106"</f>
        <v>3010106</v>
      </c>
      <c r="D625" t="str">
        <f>"03"</f>
        <v>03</v>
      </c>
      <c r="E625" t="str">
        <f>"643110"</f>
        <v>643110</v>
      </c>
      <c r="F625" t="str">
        <f>"03/31/14"</f>
        <v>03/31/14</v>
      </c>
      <c r="G625" t="str">
        <f>"2014/1169876"</f>
        <v>2014/1169876</v>
      </c>
      <c r="H625" s="3">
        <v>3728.9</v>
      </c>
      <c r="I625" s="3"/>
      <c r="J625" s="1" t="str">
        <f>"MORNEAU &amp; MURPHY"</f>
        <v>MORNEAU &amp; MURPHY</v>
      </c>
      <c r="K625" t="str">
        <f>"3363842"</f>
        <v>3363842</v>
      </c>
      <c r="L625" s="2" t="str">
        <f>"closing for 180 South Main Street"</f>
        <v>closing for 180 South Main Street</v>
      </c>
    </row>
    <row r="626" spans="1:13" x14ac:dyDescent="0.25">
      <c r="A626" t="str">
        <f>"10"</f>
        <v>10</v>
      </c>
      <c r="B626" t="str">
        <f>"066"</f>
        <v>066</v>
      </c>
      <c r="C626" t="str">
        <f>"3010106"</f>
        <v>3010106</v>
      </c>
      <c r="D626" t="str">
        <f>"03"</f>
        <v>03</v>
      </c>
      <c r="E626" t="str">
        <f>"661201"</f>
        <v>661201</v>
      </c>
      <c r="F626" t="str">
        <f>"02/28/14"</f>
        <v>02/28/14</v>
      </c>
      <c r="G626" t="str">
        <f>"14066MEF0999"</f>
        <v>14066MEF0999</v>
      </c>
      <c r="H626" s="3">
        <v>3388842.92</v>
      </c>
      <c r="I626" s="3"/>
      <c r="J626" s="1" t="str">
        <f>"MORNEAU &amp; MURPHY"</f>
        <v>MORNEAU &amp; MURPHY</v>
      </c>
      <c r="K626" t="str">
        <f>""</f>
        <v/>
      </c>
      <c r="L626" s="2" t="str">
        <f>"WIRE FUNDS FOR CLOSING OF 180 SOUTH MAIN STREET"</f>
        <v>WIRE FUNDS FOR CLOSING OF 180 SOUTH MAIN STREET</v>
      </c>
      <c r="M626" t="str">
        <f>"SVALLANT"</f>
        <v>SVALLANT</v>
      </c>
    </row>
    <row r="627" spans="1:13" x14ac:dyDescent="0.25">
      <c r="A627" t="str">
        <f>"10"</f>
        <v>10</v>
      </c>
      <c r="B627" t="str">
        <f>"066"</f>
        <v>066</v>
      </c>
      <c r="C627" t="str">
        <f>"3010106"</f>
        <v>3010106</v>
      </c>
      <c r="D627" t="str">
        <f>"03"</f>
        <v>03</v>
      </c>
      <c r="E627" t="str">
        <f>"661201"</f>
        <v>661201</v>
      </c>
      <c r="F627" t="str">
        <f>"02/28/14"</f>
        <v>02/28/14</v>
      </c>
      <c r="G627" t="str">
        <f>"14066MEF0999B"</f>
        <v>14066MEF0999B</v>
      </c>
      <c r="H627" s="3">
        <v>791.89</v>
      </c>
      <c r="I627" s="3"/>
      <c r="J627" s="1" t="str">
        <f>"MORNEAU &amp; MURPHY"</f>
        <v>MORNEAU &amp; MURPHY</v>
      </c>
      <c r="K627" t="str">
        <f>""</f>
        <v/>
      </c>
      <c r="L627" s="2" t="str">
        <f>"BALANCE DUE FOR REAL ESTATE TAXES ON 180 SOUTH MAIN STREET"</f>
        <v>BALANCE DUE FOR REAL ESTATE TAXES ON 180 SOUTH MAIN STREET</v>
      </c>
      <c r="M627" t="str">
        <f>"MFUSCO"</f>
        <v>MFUSCO</v>
      </c>
    </row>
    <row r="628" spans="1:13" x14ac:dyDescent="0.25">
      <c r="H628" s="6">
        <f>SUM(H625:H627)</f>
        <v>3393363.71</v>
      </c>
      <c r="I628" s="6">
        <f>SUM(H625:H627)</f>
        <v>3393363.71</v>
      </c>
      <c r="J628" s="1"/>
      <c r="L628" s="2"/>
      <c r="M628" t="str">
        <f>"MFUSCO"</f>
        <v>MFUSCO</v>
      </c>
    </row>
    <row r="629" spans="1:13" x14ac:dyDescent="0.25">
      <c r="H629" s="3"/>
      <c r="I629" s="3"/>
      <c r="J629" s="1"/>
      <c r="L629" s="2"/>
    </row>
    <row r="630" spans="1:13" x14ac:dyDescent="0.25">
      <c r="A630" t="str">
        <f t="shared" ref="A630:A669" si="222">"10"</f>
        <v>10</v>
      </c>
      <c r="B630" t="str">
        <f t="shared" ref="B630:B669" si="223">"066"</f>
        <v>066</v>
      </c>
      <c r="C630" t="str">
        <f t="shared" ref="C630:C669" si="224">"3010106"</f>
        <v>3010106</v>
      </c>
      <c r="D630" t="str">
        <f t="shared" ref="D630:D669" si="225">"03"</f>
        <v>03</v>
      </c>
      <c r="E630" t="str">
        <f>"644700"</f>
        <v>644700</v>
      </c>
      <c r="F630" t="str">
        <f>"03/31/14"</f>
        <v>03/31/14</v>
      </c>
      <c r="G630" t="str">
        <f>"14066MEF0426"</f>
        <v>14066MEF0426</v>
      </c>
      <c r="H630" s="3">
        <v>205.41</v>
      </c>
      <c r="I630" s="3"/>
      <c r="J630" s="1" t="str">
        <f t="shared" ref="J630:J669" si="226">"NARRAGANSETT BAY COMMISSION"</f>
        <v>NARRAGANSETT BAY COMMISSION</v>
      </c>
      <c r="K630" t="str">
        <f>""</f>
        <v/>
      </c>
      <c r="L630" s="2" t="str">
        <f>"SEWER CHARGES FOR 1/23-2/7/14"</f>
        <v>SEWER CHARGES FOR 1/23-2/7/14</v>
      </c>
    </row>
    <row r="631" spans="1:13" x14ac:dyDescent="0.25">
      <c r="A631" t="str">
        <f t="shared" si="222"/>
        <v>10</v>
      </c>
      <c r="B631" t="str">
        <f t="shared" si="223"/>
        <v>066</v>
      </c>
      <c r="C631" t="str">
        <f t="shared" si="224"/>
        <v>3010106</v>
      </c>
      <c r="D631" t="str">
        <f t="shared" si="225"/>
        <v>03</v>
      </c>
      <c r="E631" t="str">
        <f>"644700"</f>
        <v>644700</v>
      </c>
      <c r="F631" t="str">
        <f>"04/30/16"</f>
        <v>04/30/16</v>
      </c>
      <c r="G631" t="str">
        <f>"16066MEF0622"</f>
        <v>16066MEF0622</v>
      </c>
      <c r="H631" s="3">
        <v>279.77</v>
      </c>
      <c r="I631" s="3"/>
      <c r="J631" s="1" t="str">
        <f t="shared" si="226"/>
        <v>NARRAGANSETT BAY COMMISSION</v>
      </c>
      <c r="K631" t="str">
        <f>""</f>
        <v/>
      </c>
      <c r="L631" s="2" t="str">
        <f>"CONSUMPTION 2/17-3/18/16"</f>
        <v>CONSUMPTION 2/17-3/18/16</v>
      </c>
      <c r="M631" t="str">
        <f t="shared" ref="M631:M670" si="227">"MFUSCO"</f>
        <v>MFUSCO</v>
      </c>
    </row>
    <row r="632" spans="1:13" x14ac:dyDescent="0.25">
      <c r="A632" t="str">
        <f t="shared" si="222"/>
        <v>10</v>
      </c>
      <c r="B632" t="str">
        <f t="shared" si="223"/>
        <v>066</v>
      </c>
      <c r="C632" t="str">
        <f t="shared" si="224"/>
        <v>3010106</v>
      </c>
      <c r="D632" t="str">
        <f t="shared" si="225"/>
        <v>03</v>
      </c>
      <c r="E632" t="str">
        <f>"644700"</f>
        <v>644700</v>
      </c>
      <c r="F632" t="str">
        <f>"05/31/14"</f>
        <v>05/31/14</v>
      </c>
      <c r="G632" t="str">
        <f>"CUST44664"</f>
        <v>CUST44664</v>
      </c>
      <c r="H632" s="3">
        <v>207.94</v>
      </c>
      <c r="I632" s="3"/>
      <c r="J632" s="1" t="str">
        <f t="shared" si="226"/>
        <v>NARRAGANSETT BAY COMMISSION</v>
      </c>
      <c r="K632" t="str">
        <f>""</f>
        <v/>
      </c>
      <c r="L632" s="2" t="str">
        <f>"WATER CONSUMPERION FOR MAY, 2014"</f>
        <v>WATER CONSUMPERION FOR MAY, 2014</v>
      </c>
      <c r="M632" t="str">
        <f t="shared" si="227"/>
        <v>MFUSCO</v>
      </c>
    </row>
    <row r="633" spans="1:13" x14ac:dyDescent="0.25">
      <c r="A633" t="str">
        <f t="shared" si="222"/>
        <v>10</v>
      </c>
      <c r="B633" t="str">
        <f t="shared" si="223"/>
        <v>066</v>
      </c>
      <c r="C633" t="str">
        <f t="shared" si="224"/>
        <v>3010106</v>
      </c>
      <c r="D633" t="str">
        <f t="shared" si="225"/>
        <v>03</v>
      </c>
      <c r="E633" t="str">
        <f>"644700"</f>
        <v>644700</v>
      </c>
      <c r="F633" t="str">
        <f>"06/30/15"</f>
        <v>06/30/15</v>
      </c>
      <c r="G633" t="str">
        <f>"15066MEF0790"</f>
        <v>15066MEF0790</v>
      </c>
      <c r="H633" s="3">
        <v>233.86</v>
      </c>
      <c r="I633" s="3"/>
      <c r="J633" s="1" t="str">
        <f t="shared" si="226"/>
        <v>NARRAGANSETT BAY COMMISSION</v>
      </c>
      <c r="K633" t="str">
        <f>""</f>
        <v/>
      </c>
      <c r="L633" s="2" t="str">
        <f>"WATER CONSUMPTION 5/12-6/10/15"</f>
        <v>WATER CONSUMPTION 5/12-6/10/15</v>
      </c>
      <c r="M633" t="str">
        <f t="shared" si="227"/>
        <v>MFUSCO</v>
      </c>
    </row>
    <row r="634" spans="1:13" x14ac:dyDescent="0.25">
      <c r="A634" t="str">
        <f t="shared" si="222"/>
        <v>10</v>
      </c>
      <c r="B634" t="str">
        <f t="shared" si="223"/>
        <v>066</v>
      </c>
      <c r="C634" t="str">
        <f t="shared" si="224"/>
        <v>3010106</v>
      </c>
      <c r="D634" t="str">
        <f t="shared" si="225"/>
        <v>03</v>
      </c>
      <c r="E634" t="str">
        <f>"644700"</f>
        <v>644700</v>
      </c>
      <c r="F634" t="str">
        <f>"08/31/14"</f>
        <v>08/31/14</v>
      </c>
      <c r="G634" t="str">
        <f>"6/24-7/24/14 180"</f>
        <v>6/24-7/24/14 180</v>
      </c>
      <c r="H634" s="4">
        <v>205.89</v>
      </c>
      <c r="I634" s="3"/>
      <c r="J634" t="str">
        <f t="shared" si="226"/>
        <v>NARRAGANSETT BAY COMMISSION</v>
      </c>
      <c r="K634" t="str">
        <f>""</f>
        <v/>
      </c>
      <c r="L634" s="2" t="str">
        <f>"CUSTOMER 44664- 6/24-7/24/14"</f>
        <v>CUSTOMER 44664- 6/24-7/24/14</v>
      </c>
      <c r="M634" t="str">
        <f t="shared" si="227"/>
        <v>MFUSCO</v>
      </c>
    </row>
    <row r="635" spans="1:13" x14ac:dyDescent="0.25">
      <c r="A635" t="str">
        <f t="shared" si="222"/>
        <v>10</v>
      </c>
      <c r="B635" t="str">
        <f t="shared" si="223"/>
        <v>066</v>
      </c>
      <c r="C635" t="str">
        <f t="shared" si="224"/>
        <v>3010106</v>
      </c>
      <c r="D635" t="str">
        <f t="shared" si="225"/>
        <v>03</v>
      </c>
      <c r="E635" t="str">
        <f t="shared" ref="E635:E669" si="228">"644800"</f>
        <v>644800</v>
      </c>
      <c r="F635" t="str">
        <f>"01/31/15"</f>
        <v>01/31/15</v>
      </c>
      <c r="G635" t="str">
        <f>"15066MEF0151"</f>
        <v>15066MEF0151</v>
      </c>
      <c r="H635" s="4">
        <v>181.67</v>
      </c>
      <c r="I635" s="3"/>
      <c r="J635" t="str">
        <f t="shared" si="226"/>
        <v>NARRAGANSETT BAY COMMISSION</v>
      </c>
      <c r="K635" t="str">
        <f>""</f>
        <v/>
      </c>
      <c r="L635" s="2" t="str">
        <f>"SEWER CHARGES FOR DECEMBER, 2014"</f>
        <v>SEWER CHARGES FOR DECEMBER, 2014</v>
      </c>
      <c r="M635" t="str">
        <f t="shared" si="227"/>
        <v>MFUSCO</v>
      </c>
    </row>
    <row r="636" spans="1:13" x14ac:dyDescent="0.25">
      <c r="A636" t="str">
        <f t="shared" si="222"/>
        <v>10</v>
      </c>
      <c r="B636" t="str">
        <f t="shared" si="223"/>
        <v>066</v>
      </c>
      <c r="C636" t="str">
        <f t="shared" si="224"/>
        <v>3010106</v>
      </c>
      <c r="D636" t="str">
        <f t="shared" si="225"/>
        <v>03</v>
      </c>
      <c r="E636" t="str">
        <f t="shared" si="228"/>
        <v>644800</v>
      </c>
      <c r="F636" t="str">
        <f>"01/31/16"</f>
        <v>01/31/16</v>
      </c>
      <c r="G636" t="str">
        <f>"16066MEF0359"</f>
        <v>16066MEF0359</v>
      </c>
      <c r="H636" s="4">
        <v>283.66000000000003</v>
      </c>
      <c r="I636" s="3"/>
      <c r="J636" t="str">
        <f t="shared" si="226"/>
        <v>NARRAGANSETT BAY COMMISSION</v>
      </c>
      <c r="K636" t="str">
        <f>""</f>
        <v/>
      </c>
      <c r="L636" s="2" t="str">
        <f>"SEWER FOR 180 SOUTH MAIN ST"</f>
        <v>SEWER FOR 180 SOUTH MAIN ST</v>
      </c>
      <c r="M636" t="str">
        <f t="shared" si="227"/>
        <v>MFUSCO</v>
      </c>
    </row>
    <row r="637" spans="1:13" x14ac:dyDescent="0.25">
      <c r="A637" t="str">
        <f t="shared" si="222"/>
        <v>10</v>
      </c>
      <c r="B637" t="str">
        <f t="shared" si="223"/>
        <v>066</v>
      </c>
      <c r="C637" t="str">
        <f t="shared" si="224"/>
        <v>3010106</v>
      </c>
      <c r="D637" t="str">
        <f t="shared" si="225"/>
        <v>03</v>
      </c>
      <c r="E637" t="str">
        <f t="shared" si="228"/>
        <v>644800</v>
      </c>
      <c r="F637" t="str">
        <f>"01/31/17"</f>
        <v>01/31/17</v>
      </c>
      <c r="G637" t="str">
        <f>"17066MEF0304"</f>
        <v>17066MEF0304</v>
      </c>
      <c r="H637" s="4">
        <v>269.47000000000003</v>
      </c>
      <c r="I637" s="3"/>
      <c r="J637" t="str">
        <f t="shared" si="226"/>
        <v>NARRAGANSETT BAY COMMISSION</v>
      </c>
      <c r="K637" t="str">
        <f>""</f>
        <v/>
      </c>
      <c r="L637" s="2" t="str">
        <f>"180 SOUTH MAIN ST.-10/1-1/31/17"</f>
        <v>180 SOUTH MAIN ST.-10/1-1/31/17</v>
      </c>
      <c r="M637" t="str">
        <f t="shared" si="227"/>
        <v>MFUSCO</v>
      </c>
    </row>
    <row r="638" spans="1:13" x14ac:dyDescent="0.25">
      <c r="A638" t="str">
        <f t="shared" si="222"/>
        <v>10</v>
      </c>
      <c r="B638" t="str">
        <f t="shared" si="223"/>
        <v>066</v>
      </c>
      <c r="C638" t="str">
        <f t="shared" si="224"/>
        <v>3010106</v>
      </c>
      <c r="D638" t="str">
        <f t="shared" si="225"/>
        <v>03</v>
      </c>
      <c r="E638" t="str">
        <f t="shared" si="228"/>
        <v>644800</v>
      </c>
      <c r="F638" t="str">
        <f>"01/31/17"</f>
        <v>01/31/17</v>
      </c>
      <c r="G638" t="str">
        <f>"17066MEF0311"</f>
        <v>17066MEF0311</v>
      </c>
      <c r="H638" s="4">
        <v>259.45</v>
      </c>
      <c r="I638" s="3"/>
      <c r="J638" t="str">
        <f t="shared" si="226"/>
        <v>NARRAGANSETT BAY COMMISSION</v>
      </c>
      <c r="K638" t="str">
        <f>""</f>
        <v/>
      </c>
      <c r="L638" s="2" t="str">
        <f>"ACCT#46180.500 CONSUMPTION FOR 180- SOUTH MAIN ST"</f>
        <v>ACCT#46180.500 CONSUMPTION FOR 180- SOUTH MAIN ST</v>
      </c>
      <c r="M638" t="str">
        <f t="shared" si="227"/>
        <v>MFUSCO</v>
      </c>
    </row>
    <row r="639" spans="1:13" x14ac:dyDescent="0.25">
      <c r="A639" t="str">
        <f t="shared" si="222"/>
        <v>10</v>
      </c>
      <c r="B639" t="str">
        <f t="shared" si="223"/>
        <v>066</v>
      </c>
      <c r="C639" t="str">
        <f t="shared" si="224"/>
        <v>3010106</v>
      </c>
      <c r="D639" t="str">
        <f t="shared" si="225"/>
        <v>03</v>
      </c>
      <c r="E639" t="str">
        <f t="shared" si="228"/>
        <v>644800</v>
      </c>
      <c r="F639" t="str">
        <f>"02/28/15"</f>
        <v>02/28/15</v>
      </c>
      <c r="G639" t="str">
        <f>"15066MEF0197"</f>
        <v>15066MEF0197</v>
      </c>
      <c r="H639" s="4">
        <v>198.38</v>
      </c>
      <c r="I639" s="3"/>
      <c r="J639" t="str">
        <f t="shared" si="226"/>
        <v>NARRAGANSETT BAY COMMISSION</v>
      </c>
      <c r="K639" t="str">
        <f>""</f>
        <v/>
      </c>
      <c r="L639" s="2" t="str">
        <f>"CUSTOM#44664-1/5-2/5/15"</f>
        <v>CUSTOM#44664-1/5-2/5/15</v>
      </c>
      <c r="M639" t="str">
        <f t="shared" si="227"/>
        <v>MFUSCO</v>
      </c>
    </row>
    <row r="640" spans="1:13" x14ac:dyDescent="0.25">
      <c r="A640" t="str">
        <f t="shared" si="222"/>
        <v>10</v>
      </c>
      <c r="B640" t="str">
        <f t="shared" si="223"/>
        <v>066</v>
      </c>
      <c r="C640" t="str">
        <f t="shared" si="224"/>
        <v>3010106</v>
      </c>
      <c r="D640" t="str">
        <f t="shared" si="225"/>
        <v>03</v>
      </c>
      <c r="E640" t="str">
        <f t="shared" si="228"/>
        <v>644800</v>
      </c>
      <c r="F640" t="str">
        <f>"02/28/17"</f>
        <v>02/28/17</v>
      </c>
      <c r="G640" t="str">
        <f>"17066MEF0404"</f>
        <v>17066MEF0404</v>
      </c>
      <c r="H640" s="4">
        <v>272.02999999999997</v>
      </c>
      <c r="I640" s="3"/>
      <c r="J640" t="str">
        <f t="shared" si="226"/>
        <v>NARRAGANSETT BAY COMMISSION</v>
      </c>
      <c r="K640" t="str">
        <f>""</f>
        <v/>
      </c>
      <c r="L640" s="2" t="str">
        <f>"180 SOUTH MAIN STREET-ACCT# 44664"</f>
        <v>180 SOUTH MAIN STREET-ACCT# 44664</v>
      </c>
      <c r="M640" t="str">
        <f t="shared" si="227"/>
        <v>MFUSCO</v>
      </c>
    </row>
    <row r="641" spans="1:13" x14ac:dyDescent="0.25">
      <c r="A641" t="str">
        <f t="shared" si="222"/>
        <v>10</v>
      </c>
      <c r="B641" t="str">
        <f t="shared" si="223"/>
        <v>066</v>
      </c>
      <c r="C641" t="str">
        <f t="shared" si="224"/>
        <v>3010106</v>
      </c>
      <c r="D641" t="str">
        <f t="shared" si="225"/>
        <v>03</v>
      </c>
      <c r="E641" t="str">
        <f t="shared" si="228"/>
        <v>644800</v>
      </c>
      <c r="F641" t="str">
        <f>"03/31/15"</f>
        <v>03/31/15</v>
      </c>
      <c r="G641" t="str">
        <f>"15066MEF0311"</f>
        <v>15066MEF0311</v>
      </c>
      <c r="H641" s="4">
        <v>213.09</v>
      </c>
      <c r="I641" s="3"/>
      <c r="J641" t="str">
        <f t="shared" si="226"/>
        <v>NARRAGANSETT BAY COMMISSION</v>
      </c>
      <c r="K641" t="str">
        <f>""</f>
        <v/>
      </c>
      <c r="L641" s="2" t="str">
        <f>"MARCH CHARGES-SEWER"</f>
        <v>MARCH CHARGES-SEWER</v>
      </c>
      <c r="M641" t="str">
        <f t="shared" si="227"/>
        <v>MFUSCO</v>
      </c>
    </row>
    <row r="642" spans="1:13" x14ac:dyDescent="0.25">
      <c r="A642" t="str">
        <f t="shared" si="222"/>
        <v>10</v>
      </c>
      <c r="B642" t="str">
        <f t="shared" si="223"/>
        <v>066</v>
      </c>
      <c r="C642" t="str">
        <f t="shared" si="224"/>
        <v>3010106</v>
      </c>
      <c r="D642" t="str">
        <f t="shared" si="225"/>
        <v>03</v>
      </c>
      <c r="E642" t="str">
        <f t="shared" si="228"/>
        <v>644800</v>
      </c>
      <c r="F642" t="str">
        <f>"03/31/16"</f>
        <v>03/31/16</v>
      </c>
      <c r="G642" t="str">
        <f>"16066MEF0558"</f>
        <v>16066MEF0558</v>
      </c>
      <c r="H642" s="4">
        <v>542.66</v>
      </c>
      <c r="I642" s="3"/>
      <c r="J642" t="str">
        <f t="shared" si="226"/>
        <v>NARRAGANSETT BAY COMMISSION</v>
      </c>
      <c r="K642" t="str">
        <f>""</f>
        <v/>
      </c>
      <c r="L642" s="2" t="str">
        <f>"SEWER FOR 180 SOUTH MAIN FOR TWO MONTHS"</f>
        <v>SEWER FOR 180 SOUTH MAIN FOR TWO MONTHS</v>
      </c>
      <c r="M642" t="str">
        <f t="shared" si="227"/>
        <v>MFUSCO</v>
      </c>
    </row>
    <row r="643" spans="1:13" x14ac:dyDescent="0.25">
      <c r="A643" t="str">
        <f t="shared" si="222"/>
        <v>10</v>
      </c>
      <c r="B643" t="str">
        <f t="shared" si="223"/>
        <v>066</v>
      </c>
      <c r="C643" t="str">
        <f t="shared" si="224"/>
        <v>3010106</v>
      </c>
      <c r="D643" t="str">
        <f t="shared" si="225"/>
        <v>03</v>
      </c>
      <c r="E643" t="str">
        <f t="shared" si="228"/>
        <v>644800</v>
      </c>
      <c r="F643" t="str">
        <f>"03/31/17"</f>
        <v>03/31/17</v>
      </c>
      <c r="G643" t="str">
        <f>"17066MEF0458"</f>
        <v>17066MEF0458</v>
      </c>
      <c r="H643" s="4">
        <v>271.01</v>
      </c>
      <c r="I643" s="3"/>
      <c r="J643" t="str">
        <f t="shared" si="226"/>
        <v>NARRAGANSETT BAY COMMISSION</v>
      </c>
      <c r="K643" t="str">
        <f>""</f>
        <v/>
      </c>
      <c r="L643" s="2" t="str">
        <f>"ACCT# 44664-180 SOUTH MAIN STREET"</f>
        <v>ACCT# 44664-180 SOUTH MAIN STREET</v>
      </c>
      <c r="M643" t="str">
        <f t="shared" si="227"/>
        <v>MFUSCO</v>
      </c>
    </row>
    <row r="644" spans="1:13" x14ac:dyDescent="0.25">
      <c r="A644" t="str">
        <f t="shared" si="222"/>
        <v>10</v>
      </c>
      <c r="B644" t="str">
        <f t="shared" si="223"/>
        <v>066</v>
      </c>
      <c r="C644" t="str">
        <f t="shared" si="224"/>
        <v>3010106</v>
      </c>
      <c r="D644" t="str">
        <f t="shared" si="225"/>
        <v>03</v>
      </c>
      <c r="E644" t="str">
        <f t="shared" si="228"/>
        <v>644800</v>
      </c>
      <c r="F644" t="str">
        <f>"04/30/14"</f>
        <v>04/30/14</v>
      </c>
      <c r="G644" t="str">
        <f>"ACCT44664"</f>
        <v>ACCT44664</v>
      </c>
      <c r="H644" s="4">
        <v>403.74</v>
      </c>
      <c r="I644" s="3"/>
      <c r="J644" t="str">
        <f t="shared" si="226"/>
        <v>NARRAGANSETT BAY COMMISSION</v>
      </c>
      <c r="K644" t="str">
        <f>""</f>
        <v/>
      </c>
      <c r="L644" s="2" t="str">
        <f>"SEWER USED FOR 1/23-3/26/14"</f>
        <v>SEWER USED FOR 1/23-3/26/14</v>
      </c>
      <c r="M644" t="str">
        <f t="shared" si="227"/>
        <v>MFUSCO</v>
      </c>
    </row>
    <row r="645" spans="1:13" x14ac:dyDescent="0.25">
      <c r="A645" t="str">
        <f t="shared" si="222"/>
        <v>10</v>
      </c>
      <c r="B645" t="str">
        <f t="shared" si="223"/>
        <v>066</v>
      </c>
      <c r="C645" t="str">
        <f t="shared" si="224"/>
        <v>3010106</v>
      </c>
      <c r="D645" t="str">
        <f t="shared" si="225"/>
        <v>03</v>
      </c>
      <c r="E645" t="str">
        <f t="shared" si="228"/>
        <v>644800</v>
      </c>
      <c r="F645" t="str">
        <f>"04/30/15"</f>
        <v>04/30/15</v>
      </c>
      <c r="G645" t="str">
        <f>"15066MEF0508"</f>
        <v>15066MEF0508</v>
      </c>
      <c r="H645" s="4">
        <v>212.13</v>
      </c>
      <c r="I645" s="3"/>
      <c r="J645" t="str">
        <f t="shared" si="226"/>
        <v>NARRAGANSETT BAY COMMISSION</v>
      </c>
      <c r="K645" t="str">
        <f>""</f>
        <v/>
      </c>
      <c r="L645" s="2" t="str">
        <f>"WATER CONSUMPTION 2/5-3/10/15 &amp; APRIL CHARGES"</f>
        <v>WATER CONSUMPTION 2/5-3/10/15 &amp; APRIL CHARGES</v>
      </c>
      <c r="M645" t="str">
        <f t="shared" si="227"/>
        <v>MFUSCO</v>
      </c>
    </row>
    <row r="646" spans="1:13" x14ac:dyDescent="0.25">
      <c r="A646" t="str">
        <f t="shared" si="222"/>
        <v>10</v>
      </c>
      <c r="B646" t="str">
        <f t="shared" si="223"/>
        <v>066</v>
      </c>
      <c r="C646" t="str">
        <f t="shared" si="224"/>
        <v>3010106</v>
      </c>
      <c r="D646" t="str">
        <f t="shared" si="225"/>
        <v>03</v>
      </c>
      <c r="E646" t="str">
        <f t="shared" si="228"/>
        <v>644800</v>
      </c>
      <c r="F646" t="str">
        <f>"04/30/17"</f>
        <v>04/30/17</v>
      </c>
      <c r="G646" t="str">
        <f>"17066MEF0483"</f>
        <v>17066MEF0483</v>
      </c>
      <c r="H646" s="4">
        <v>274.08</v>
      </c>
      <c r="I646" s="3"/>
      <c r="J646" t="str">
        <f t="shared" si="226"/>
        <v>NARRAGANSETT BAY COMMISSION</v>
      </c>
      <c r="K646" t="str">
        <f>""</f>
        <v/>
      </c>
      <c r="L646" s="2" t="str">
        <f>"SEWER FOR 180 SOUTH MAIN STREET"</f>
        <v>SEWER FOR 180 SOUTH MAIN STREET</v>
      </c>
      <c r="M646" t="str">
        <f t="shared" si="227"/>
        <v>MFUSCO</v>
      </c>
    </row>
    <row r="647" spans="1:13" x14ac:dyDescent="0.25">
      <c r="A647" t="str">
        <f t="shared" si="222"/>
        <v>10</v>
      </c>
      <c r="B647" t="str">
        <f t="shared" si="223"/>
        <v>066</v>
      </c>
      <c r="C647" t="str">
        <f t="shared" si="224"/>
        <v>3010106</v>
      </c>
      <c r="D647" t="str">
        <f t="shared" si="225"/>
        <v>03</v>
      </c>
      <c r="E647" t="str">
        <f t="shared" si="228"/>
        <v>644800</v>
      </c>
      <c r="F647" t="str">
        <f>"05/31/15"</f>
        <v>05/31/15</v>
      </c>
      <c r="G647" t="str">
        <f>"15066MEF0543"</f>
        <v>15066MEF0543</v>
      </c>
      <c r="H647" s="4">
        <v>221.96</v>
      </c>
      <c r="I647" s="3"/>
      <c r="J647" t="str">
        <f t="shared" si="226"/>
        <v>NARRAGANSETT BAY COMMISSION</v>
      </c>
      <c r="K647" t="str">
        <f>""</f>
        <v/>
      </c>
      <c r="L647" s="2" t="str">
        <f>"SEWER USAGE FOR 3/10-4/30/15"</f>
        <v>SEWER USAGE FOR 3/10-4/30/15</v>
      </c>
      <c r="M647" t="str">
        <f t="shared" si="227"/>
        <v>MFUSCO</v>
      </c>
    </row>
    <row r="648" spans="1:13" x14ac:dyDescent="0.25">
      <c r="A648" t="str">
        <f t="shared" si="222"/>
        <v>10</v>
      </c>
      <c r="B648" t="str">
        <f t="shared" si="223"/>
        <v>066</v>
      </c>
      <c r="C648" t="str">
        <f t="shared" si="224"/>
        <v>3010106</v>
      </c>
      <c r="D648" t="str">
        <f t="shared" si="225"/>
        <v>03</v>
      </c>
      <c r="E648" t="str">
        <f t="shared" si="228"/>
        <v>644800</v>
      </c>
      <c r="F648" t="str">
        <f>"05/31/16"</f>
        <v>05/31/16</v>
      </c>
      <c r="G648" t="str">
        <f>"16066MEF0795"</f>
        <v>16066MEF0795</v>
      </c>
      <c r="H648" s="4">
        <v>290.20999999999998</v>
      </c>
      <c r="I648" s="3"/>
      <c r="J648" t="str">
        <f t="shared" si="226"/>
        <v>NARRAGANSETT BAY COMMISSION</v>
      </c>
      <c r="K648" t="str">
        <f>""</f>
        <v/>
      </c>
      <c r="L648" s="2" t="str">
        <f>"SEWER FOR 180 SOUTH MAIN 3/18-4/20/16"</f>
        <v>SEWER FOR 180 SOUTH MAIN 3/18-4/20/16</v>
      </c>
      <c r="M648" t="str">
        <f t="shared" si="227"/>
        <v>MFUSCO</v>
      </c>
    </row>
    <row r="649" spans="1:13" x14ac:dyDescent="0.25">
      <c r="A649" t="str">
        <f t="shared" si="222"/>
        <v>10</v>
      </c>
      <c r="B649" t="str">
        <f t="shared" si="223"/>
        <v>066</v>
      </c>
      <c r="C649" t="str">
        <f t="shared" si="224"/>
        <v>3010106</v>
      </c>
      <c r="D649" t="str">
        <f t="shared" si="225"/>
        <v>03</v>
      </c>
      <c r="E649" t="str">
        <f t="shared" si="228"/>
        <v>644800</v>
      </c>
      <c r="F649" t="str">
        <f>"05/31/17"</f>
        <v>05/31/17</v>
      </c>
      <c r="G649" t="str">
        <f>"17066MEF0510"</f>
        <v>17066MEF0510</v>
      </c>
      <c r="H649" s="4">
        <v>267.94</v>
      </c>
      <c r="I649" s="3"/>
      <c r="J649" t="str">
        <f t="shared" si="226"/>
        <v>NARRAGANSETT BAY COMMISSION</v>
      </c>
      <c r="K649" t="str">
        <f>""</f>
        <v/>
      </c>
      <c r="L649" s="2" t="str">
        <f>"ACCT 44664-180 SOUTH MAIN STREET"</f>
        <v>ACCT 44664-180 SOUTH MAIN STREET</v>
      </c>
      <c r="M649" t="str">
        <f t="shared" si="227"/>
        <v>MFUSCO</v>
      </c>
    </row>
    <row r="650" spans="1:13" x14ac:dyDescent="0.25">
      <c r="A650" t="str">
        <f t="shared" si="222"/>
        <v>10</v>
      </c>
      <c r="B650" t="str">
        <f t="shared" si="223"/>
        <v>066</v>
      </c>
      <c r="C650" t="str">
        <f t="shared" si="224"/>
        <v>3010106</v>
      </c>
      <c r="D650" t="str">
        <f t="shared" si="225"/>
        <v>03</v>
      </c>
      <c r="E650" t="str">
        <f t="shared" si="228"/>
        <v>644800</v>
      </c>
      <c r="F650" t="str">
        <f>"06/30/14"</f>
        <v>06/30/14</v>
      </c>
      <c r="G650" t="str">
        <f>"JUNE SEWER-180"</f>
        <v>JUNE SEWER-180</v>
      </c>
      <c r="H650" s="4">
        <v>199.27</v>
      </c>
      <c r="I650" s="3"/>
      <c r="J650" t="str">
        <f t="shared" si="226"/>
        <v>NARRAGANSETT BAY COMMISSION</v>
      </c>
      <c r="K650" t="str">
        <f>""</f>
        <v/>
      </c>
      <c r="L650" s="2" t="str">
        <f>"SEWER BILL FOR JUNE, 2014"</f>
        <v>SEWER BILL FOR JUNE, 2014</v>
      </c>
      <c r="M650" t="str">
        <f t="shared" si="227"/>
        <v>MFUSCO</v>
      </c>
    </row>
    <row r="651" spans="1:13" x14ac:dyDescent="0.25">
      <c r="A651" t="str">
        <f t="shared" si="222"/>
        <v>10</v>
      </c>
      <c r="B651" t="str">
        <f t="shared" si="223"/>
        <v>066</v>
      </c>
      <c r="C651" t="str">
        <f t="shared" si="224"/>
        <v>3010106</v>
      </c>
      <c r="D651" t="str">
        <f t="shared" si="225"/>
        <v>03</v>
      </c>
      <c r="E651" t="str">
        <f t="shared" si="228"/>
        <v>644800</v>
      </c>
      <c r="F651" t="str">
        <f>"06/30/15"</f>
        <v>06/30/15</v>
      </c>
      <c r="G651" t="str">
        <f>"15066MEF0681"</f>
        <v>15066MEF0681</v>
      </c>
      <c r="H651" s="4">
        <v>219.03</v>
      </c>
      <c r="I651" s="3"/>
      <c r="J651" t="str">
        <f t="shared" si="226"/>
        <v>NARRAGANSETT BAY COMMISSION</v>
      </c>
      <c r="K651" t="str">
        <f>""</f>
        <v/>
      </c>
      <c r="L651" s="2" t="str">
        <f>"CONSUMPTION 4/9-5/12/15"</f>
        <v>CONSUMPTION 4/9-5/12/15</v>
      </c>
      <c r="M651" t="str">
        <f t="shared" si="227"/>
        <v>MFUSCO</v>
      </c>
    </row>
    <row r="652" spans="1:13" x14ac:dyDescent="0.25">
      <c r="A652" t="str">
        <f t="shared" si="222"/>
        <v>10</v>
      </c>
      <c r="B652" t="str">
        <f t="shared" si="223"/>
        <v>066</v>
      </c>
      <c r="C652" t="str">
        <f t="shared" si="224"/>
        <v>3010106</v>
      </c>
      <c r="D652" t="str">
        <f t="shared" si="225"/>
        <v>03</v>
      </c>
      <c r="E652" t="str">
        <f t="shared" si="228"/>
        <v>644800</v>
      </c>
      <c r="F652" t="str">
        <f>"06/30/16"</f>
        <v>06/30/16</v>
      </c>
      <c r="G652" t="str">
        <f>"16066MEF0853"</f>
        <v>16066MEF0853</v>
      </c>
      <c r="H652" s="4">
        <v>259.02999999999997</v>
      </c>
      <c r="I652" s="3"/>
      <c r="J652" t="str">
        <f t="shared" si="226"/>
        <v>NARRAGANSETT BAY COMMISSION</v>
      </c>
      <c r="K652" t="str">
        <f>""</f>
        <v/>
      </c>
      <c r="L652" s="2" t="str">
        <f>"SEWER AT 180 SOUTH MAIN"</f>
        <v>SEWER AT 180 SOUTH MAIN</v>
      </c>
      <c r="M652" t="str">
        <f t="shared" si="227"/>
        <v>MFUSCO</v>
      </c>
    </row>
    <row r="653" spans="1:13" x14ac:dyDescent="0.25">
      <c r="A653" t="str">
        <f t="shared" si="222"/>
        <v>10</v>
      </c>
      <c r="B653" t="str">
        <f t="shared" si="223"/>
        <v>066</v>
      </c>
      <c r="C653" t="str">
        <f t="shared" si="224"/>
        <v>3010106</v>
      </c>
      <c r="D653" t="str">
        <f t="shared" si="225"/>
        <v>03</v>
      </c>
      <c r="E653" t="str">
        <f t="shared" si="228"/>
        <v>644800</v>
      </c>
      <c r="F653" t="str">
        <f>"06/30/16"</f>
        <v>06/30/16</v>
      </c>
      <c r="G653" t="str">
        <f>"16066MEF0932"</f>
        <v>16066MEF0932</v>
      </c>
      <c r="H653" s="4">
        <v>278.41000000000003</v>
      </c>
      <c r="I653" s="3"/>
      <c r="J653" t="str">
        <f t="shared" si="226"/>
        <v>NARRAGANSETT BAY COMMISSION</v>
      </c>
      <c r="K653" t="str">
        <f>""</f>
        <v/>
      </c>
      <c r="L653" s="2" t="str">
        <f>"SEWER SERVCES AT 180 SOUTH MAIN STREET"</f>
        <v>SEWER SERVCES AT 180 SOUTH MAIN STREET</v>
      </c>
      <c r="M653" t="str">
        <f t="shared" si="227"/>
        <v>MFUSCO</v>
      </c>
    </row>
    <row r="654" spans="1:13" x14ac:dyDescent="0.25">
      <c r="A654" t="str">
        <f t="shared" si="222"/>
        <v>10</v>
      </c>
      <c r="B654" t="str">
        <f t="shared" si="223"/>
        <v>066</v>
      </c>
      <c r="C654" t="str">
        <f t="shared" si="224"/>
        <v>3010106</v>
      </c>
      <c r="D654" t="str">
        <f t="shared" si="225"/>
        <v>03</v>
      </c>
      <c r="E654" t="str">
        <f t="shared" si="228"/>
        <v>644800</v>
      </c>
      <c r="F654" t="str">
        <f>"06/30/17"</f>
        <v>06/30/17</v>
      </c>
      <c r="G654" t="str">
        <f>"17066MEF0601"</f>
        <v>17066MEF0601</v>
      </c>
      <c r="H654" s="4">
        <v>273.57</v>
      </c>
      <c r="I654" s="3"/>
      <c r="J654" t="str">
        <f t="shared" si="226"/>
        <v>NARRAGANSETT BAY COMMISSION</v>
      </c>
      <c r="K654" t="str">
        <f>""</f>
        <v/>
      </c>
      <c r="L654" s="2" t="str">
        <f>"SEWER FOR 180 SOUTH MAIN STREET"</f>
        <v>SEWER FOR 180 SOUTH MAIN STREET</v>
      </c>
      <c r="M654" t="str">
        <f t="shared" si="227"/>
        <v>MFUSCO</v>
      </c>
    </row>
    <row r="655" spans="1:13" x14ac:dyDescent="0.25">
      <c r="A655" t="str">
        <f t="shared" si="222"/>
        <v>10</v>
      </c>
      <c r="B655" t="str">
        <f t="shared" si="223"/>
        <v>066</v>
      </c>
      <c r="C655" t="str">
        <f t="shared" si="224"/>
        <v>3010106</v>
      </c>
      <c r="D655" t="str">
        <f t="shared" si="225"/>
        <v>03</v>
      </c>
      <c r="E655" t="str">
        <f t="shared" si="228"/>
        <v>644800</v>
      </c>
      <c r="F655" t="str">
        <f>"06/30/17"</f>
        <v>06/30/17</v>
      </c>
      <c r="G655" t="str">
        <f>"17066MEF0671"</f>
        <v>17066MEF0671</v>
      </c>
      <c r="H655" s="4">
        <v>277.14999999999998</v>
      </c>
      <c r="I655" s="3"/>
      <c r="J655" t="str">
        <f t="shared" si="226"/>
        <v>NARRAGANSETT BAY COMMISSION</v>
      </c>
      <c r="K655" t="str">
        <f>""</f>
        <v/>
      </c>
      <c r="L655" s="2" t="str">
        <f>"SEWER BILL FOR 5/25-6/28/17 FOR 180 SOUTH MAIN STREET"</f>
        <v>SEWER BILL FOR 5/25-6/28/17 FOR 180 SOUTH MAIN STREET</v>
      </c>
      <c r="M655" t="str">
        <f t="shared" si="227"/>
        <v>MFUSCO</v>
      </c>
    </row>
    <row r="656" spans="1:13" x14ac:dyDescent="0.25">
      <c r="A656" t="str">
        <f t="shared" si="222"/>
        <v>10</v>
      </c>
      <c r="B656" t="str">
        <f t="shared" si="223"/>
        <v>066</v>
      </c>
      <c r="C656" t="str">
        <f t="shared" si="224"/>
        <v>3010106</v>
      </c>
      <c r="D656" t="str">
        <f t="shared" si="225"/>
        <v>03</v>
      </c>
      <c r="E656" t="str">
        <f t="shared" si="228"/>
        <v>644800</v>
      </c>
      <c r="F656" t="str">
        <f>"08/31/14"</f>
        <v>08/31/14</v>
      </c>
      <c r="G656" t="str">
        <f>"CUSTOMER 44664"</f>
        <v>CUSTOMER 44664</v>
      </c>
      <c r="H656" s="4">
        <v>205.89</v>
      </c>
      <c r="I656" s="3"/>
      <c r="J656" t="str">
        <f t="shared" si="226"/>
        <v>NARRAGANSETT BAY COMMISSION</v>
      </c>
      <c r="K656" t="str">
        <f>""</f>
        <v/>
      </c>
      <c r="L656" s="2" t="str">
        <f>"CONSUMP. 5/27-6/24/14-180 SOUTH MAIN STRET"</f>
        <v>CONSUMP. 5/27-6/24/14-180 SOUTH MAIN STRET</v>
      </c>
      <c r="M656" t="str">
        <f t="shared" si="227"/>
        <v>MFUSCO</v>
      </c>
    </row>
    <row r="657" spans="1:13" x14ac:dyDescent="0.25">
      <c r="A657" t="str">
        <f t="shared" si="222"/>
        <v>10</v>
      </c>
      <c r="B657" t="str">
        <f t="shared" si="223"/>
        <v>066</v>
      </c>
      <c r="C657" t="str">
        <f t="shared" si="224"/>
        <v>3010106</v>
      </c>
      <c r="D657" t="str">
        <f t="shared" si="225"/>
        <v>03</v>
      </c>
      <c r="E657" t="str">
        <f t="shared" si="228"/>
        <v>644800</v>
      </c>
      <c r="F657" t="str">
        <f>"08/31/15"</f>
        <v>08/31/15</v>
      </c>
      <c r="G657" t="str">
        <f>"16066MEF0077"</f>
        <v>16066MEF0077</v>
      </c>
      <c r="H657" s="4">
        <v>247.41</v>
      </c>
      <c r="I657" s="3"/>
      <c r="J657" t="str">
        <f t="shared" si="226"/>
        <v>NARRAGANSETT BAY COMMISSION</v>
      </c>
      <c r="K657" t="str">
        <f>""</f>
        <v/>
      </c>
      <c r="L657" s="2" t="str">
        <f>"SEWER AND CUSTOMER CHARGES-180 SOUTH MAIN STREET"</f>
        <v>SEWER AND CUSTOMER CHARGES-180 SOUTH MAIN STREET</v>
      </c>
      <c r="M657" t="str">
        <f t="shared" si="227"/>
        <v>MFUSCO</v>
      </c>
    </row>
    <row r="658" spans="1:13" x14ac:dyDescent="0.25">
      <c r="A658" t="str">
        <f t="shared" si="222"/>
        <v>10</v>
      </c>
      <c r="B658" t="str">
        <f t="shared" si="223"/>
        <v>066</v>
      </c>
      <c r="C658" t="str">
        <f t="shared" si="224"/>
        <v>3010106</v>
      </c>
      <c r="D658" t="str">
        <f t="shared" si="225"/>
        <v>03</v>
      </c>
      <c r="E658" t="str">
        <f t="shared" si="228"/>
        <v>644800</v>
      </c>
      <c r="F658" t="str">
        <f>"09/30/14"</f>
        <v>09/30/14</v>
      </c>
      <c r="G658" t="str">
        <f>"ACCT#44664"</f>
        <v>ACCT#44664</v>
      </c>
      <c r="H658" s="4">
        <v>200.39</v>
      </c>
      <c r="I658" s="3"/>
      <c r="J658" t="str">
        <f t="shared" si="226"/>
        <v>NARRAGANSETT BAY COMMISSION</v>
      </c>
      <c r="K658" t="str">
        <f>""</f>
        <v/>
      </c>
      <c r="L658" s="2" t="str">
        <f>"SEPTEMBER CONSUMPTION"</f>
        <v>SEPTEMBER CONSUMPTION</v>
      </c>
      <c r="M658" t="str">
        <f t="shared" si="227"/>
        <v>MFUSCO</v>
      </c>
    </row>
    <row r="659" spans="1:13" x14ac:dyDescent="0.25">
      <c r="A659" t="str">
        <f t="shared" si="222"/>
        <v>10</v>
      </c>
      <c r="B659" t="str">
        <f t="shared" si="223"/>
        <v>066</v>
      </c>
      <c r="C659" t="str">
        <f t="shared" si="224"/>
        <v>3010106</v>
      </c>
      <c r="D659" t="str">
        <f t="shared" si="225"/>
        <v>03</v>
      </c>
      <c r="E659" t="str">
        <f t="shared" si="228"/>
        <v>644800</v>
      </c>
      <c r="F659" t="str">
        <f>"09/30/15"</f>
        <v>09/30/15</v>
      </c>
      <c r="G659" t="str">
        <f>"16066MEF0115"</f>
        <v>16066MEF0115</v>
      </c>
      <c r="H659" s="4">
        <v>254.44</v>
      </c>
      <c r="I659" s="3"/>
      <c r="J659" t="str">
        <f t="shared" si="226"/>
        <v>NARRAGANSETT BAY COMMISSION</v>
      </c>
      <c r="K659" t="str">
        <f>""</f>
        <v/>
      </c>
      <c r="L659" s="2" t="str">
        <f>"180 SOUTH MAIN ST.-7/13-8/7/15 CHARGES"</f>
        <v>180 SOUTH MAIN ST.-7/13-8/7/15 CHARGES</v>
      </c>
      <c r="M659" t="str">
        <f t="shared" si="227"/>
        <v>MFUSCO</v>
      </c>
    </row>
    <row r="660" spans="1:13" x14ac:dyDescent="0.25">
      <c r="A660" t="str">
        <f t="shared" si="222"/>
        <v>10</v>
      </c>
      <c r="B660" t="str">
        <f t="shared" si="223"/>
        <v>066</v>
      </c>
      <c r="C660" t="str">
        <f t="shared" si="224"/>
        <v>3010106</v>
      </c>
      <c r="D660" t="str">
        <f t="shared" si="225"/>
        <v>03</v>
      </c>
      <c r="E660" t="str">
        <f t="shared" si="228"/>
        <v>644800</v>
      </c>
      <c r="F660" t="str">
        <f>"09/30/16"</f>
        <v>09/30/16</v>
      </c>
      <c r="G660" t="str">
        <f>"17066MEF0094"</f>
        <v>17066MEF0094</v>
      </c>
      <c r="H660" s="4">
        <v>272.33999999999997</v>
      </c>
      <c r="I660" s="3"/>
      <c r="J660" t="str">
        <f t="shared" si="226"/>
        <v>NARRAGANSETT BAY COMMISSION</v>
      </c>
      <c r="K660" t="str">
        <f>""</f>
        <v/>
      </c>
      <c r="L660" s="2" t="str">
        <f>"SEWER USAGE FOR AUG, 2016"</f>
        <v>SEWER USAGE FOR AUG, 2016</v>
      </c>
      <c r="M660" t="str">
        <f t="shared" si="227"/>
        <v>MFUSCO</v>
      </c>
    </row>
    <row r="661" spans="1:13" x14ac:dyDescent="0.25">
      <c r="A661" t="str">
        <f t="shared" si="222"/>
        <v>10</v>
      </c>
      <c r="B661" t="str">
        <f t="shared" si="223"/>
        <v>066</v>
      </c>
      <c r="C661" t="str">
        <f t="shared" si="224"/>
        <v>3010106</v>
      </c>
      <c r="D661" t="str">
        <f t="shared" si="225"/>
        <v>03</v>
      </c>
      <c r="E661" t="str">
        <f t="shared" si="228"/>
        <v>644800</v>
      </c>
      <c r="F661" t="str">
        <f>"09/30/16"</f>
        <v>09/30/16</v>
      </c>
      <c r="G661" t="str">
        <f>"17066MEF0102"</f>
        <v>17066MEF0102</v>
      </c>
      <c r="H661" s="4">
        <v>265.47000000000003</v>
      </c>
      <c r="I661" s="3"/>
      <c r="J661" t="str">
        <f t="shared" si="226"/>
        <v>NARRAGANSETT BAY COMMISSION</v>
      </c>
      <c r="K661" t="str">
        <f>""</f>
        <v/>
      </c>
      <c r="L661" s="2" t="str">
        <f>"SEWER FOR 150 SOUTH MAIN ST"</f>
        <v>SEWER FOR 150 SOUTH MAIN ST</v>
      </c>
      <c r="M661" t="str">
        <f t="shared" si="227"/>
        <v>MFUSCO</v>
      </c>
    </row>
    <row r="662" spans="1:13" x14ac:dyDescent="0.25">
      <c r="A662" t="str">
        <f t="shared" si="222"/>
        <v>10</v>
      </c>
      <c r="B662" t="str">
        <f t="shared" si="223"/>
        <v>066</v>
      </c>
      <c r="C662" t="str">
        <f t="shared" si="224"/>
        <v>3010106</v>
      </c>
      <c r="D662" t="str">
        <f t="shared" si="225"/>
        <v>03</v>
      </c>
      <c r="E662" t="str">
        <f t="shared" si="228"/>
        <v>644800</v>
      </c>
      <c r="F662" t="str">
        <f>"10/31/14"</f>
        <v>10/31/14</v>
      </c>
      <c r="G662" t="str">
        <f>"CUSTOMER#44664"</f>
        <v>CUSTOMER#44664</v>
      </c>
      <c r="H662" s="4">
        <v>218.16</v>
      </c>
      <c r="I662" s="3"/>
      <c r="J662" t="str">
        <f t="shared" si="226"/>
        <v>NARRAGANSETT BAY COMMISSION</v>
      </c>
      <c r="K662" t="str">
        <f>""</f>
        <v/>
      </c>
      <c r="L662" s="2" t="str">
        <f>"CONSUMP 8/26/-9/26 &amp; CUSTOM 9/1-10/31/14"</f>
        <v>CONSUMP 8/26/-9/26 &amp; CUSTOM 9/1-10/31/14</v>
      </c>
      <c r="M662" t="str">
        <f t="shared" si="227"/>
        <v>MFUSCO</v>
      </c>
    </row>
    <row r="663" spans="1:13" x14ac:dyDescent="0.25">
      <c r="A663" t="str">
        <f t="shared" si="222"/>
        <v>10</v>
      </c>
      <c r="B663" t="str">
        <f t="shared" si="223"/>
        <v>066</v>
      </c>
      <c r="C663" t="str">
        <f t="shared" si="224"/>
        <v>3010106</v>
      </c>
      <c r="D663" t="str">
        <f t="shared" si="225"/>
        <v>03</v>
      </c>
      <c r="E663" t="str">
        <f t="shared" si="228"/>
        <v>644800</v>
      </c>
      <c r="F663" t="str">
        <f>"10/31/15"</f>
        <v>10/31/15</v>
      </c>
      <c r="G663" t="str">
        <f>"16066MEF0190"</f>
        <v>16066MEF0190</v>
      </c>
      <c r="H663" s="4">
        <v>272.06</v>
      </c>
      <c r="I663" s="3"/>
      <c r="J663" t="str">
        <f t="shared" si="226"/>
        <v>NARRAGANSETT BAY COMMISSION</v>
      </c>
      <c r="K663" t="str">
        <f>""</f>
        <v/>
      </c>
      <c r="L663" s="2" t="str">
        <f>"SEWER FOR 180 SOUTH MAIN STREET"</f>
        <v>SEWER FOR 180 SOUTH MAIN STREET</v>
      </c>
      <c r="M663" t="str">
        <f t="shared" si="227"/>
        <v>MFUSCO</v>
      </c>
    </row>
    <row r="664" spans="1:13" x14ac:dyDescent="0.25">
      <c r="A664" t="str">
        <f t="shared" si="222"/>
        <v>10</v>
      </c>
      <c r="B664" t="str">
        <f t="shared" si="223"/>
        <v>066</v>
      </c>
      <c r="C664" t="str">
        <f t="shared" si="224"/>
        <v>3010106</v>
      </c>
      <c r="D664" t="str">
        <f t="shared" si="225"/>
        <v>03</v>
      </c>
      <c r="E664" t="str">
        <f t="shared" si="228"/>
        <v>644800</v>
      </c>
      <c r="F664" t="str">
        <f>"10/31/16"</f>
        <v>10/31/16</v>
      </c>
      <c r="G664" t="str">
        <f>"17066MEF0133"</f>
        <v>17066MEF0133</v>
      </c>
      <c r="H664" s="4">
        <v>261.87</v>
      </c>
      <c r="I664" s="3"/>
      <c r="J664" t="str">
        <f t="shared" si="226"/>
        <v>NARRAGANSETT BAY COMMISSION</v>
      </c>
      <c r="K664" t="str">
        <f>""</f>
        <v/>
      </c>
      <c r="L664" s="2" t="str">
        <f>"ACCT# 44664-SEWER FOR 180 SOUTH MAIN STREET"</f>
        <v>ACCT# 44664-SEWER FOR 180 SOUTH MAIN STREET</v>
      </c>
      <c r="M664" t="str">
        <f t="shared" si="227"/>
        <v>MFUSCO</v>
      </c>
    </row>
    <row r="665" spans="1:13" x14ac:dyDescent="0.25">
      <c r="A665" t="str">
        <f t="shared" si="222"/>
        <v>10</v>
      </c>
      <c r="B665" t="str">
        <f t="shared" si="223"/>
        <v>066</v>
      </c>
      <c r="C665" t="str">
        <f t="shared" si="224"/>
        <v>3010106</v>
      </c>
      <c r="D665" t="str">
        <f t="shared" si="225"/>
        <v>03</v>
      </c>
      <c r="E665" t="str">
        <f t="shared" si="228"/>
        <v>644800</v>
      </c>
      <c r="F665" t="str">
        <f>"11/30/14"</f>
        <v>11/30/14</v>
      </c>
      <c r="G665" t="str">
        <f>"CUST#44664"</f>
        <v>CUST#44664</v>
      </c>
      <c r="H665" s="4">
        <v>240.63</v>
      </c>
      <c r="I665" s="3"/>
      <c r="J665" t="str">
        <f t="shared" si="226"/>
        <v>NARRAGANSETT BAY COMMISSION</v>
      </c>
      <c r="K665" t="str">
        <f>""</f>
        <v/>
      </c>
      <c r="L665" s="2" t="str">
        <f>"CUSTOMER # 44664-SEWER 9/26-10/31/14 180 SOUTH MAIN"</f>
        <v>CUSTOMER # 44664-SEWER 9/26-10/31/14 180 SOUTH MAIN</v>
      </c>
      <c r="M665" t="str">
        <f t="shared" si="227"/>
        <v>MFUSCO</v>
      </c>
    </row>
    <row r="666" spans="1:13" x14ac:dyDescent="0.25">
      <c r="A666" t="str">
        <f t="shared" si="222"/>
        <v>10</v>
      </c>
      <c r="B666" t="str">
        <f t="shared" si="223"/>
        <v>066</v>
      </c>
      <c r="C666" t="str">
        <f t="shared" si="224"/>
        <v>3010106</v>
      </c>
      <c r="D666" t="str">
        <f t="shared" si="225"/>
        <v>03</v>
      </c>
      <c r="E666" t="str">
        <f t="shared" si="228"/>
        <v>644800</v>
      </c>
      <c r="F666" t="str">
        <f>"11/30/15"</f>
        <v>11/30/15</v>
      </c>
      <c r="G666" t="str">
        <f>"16066MEF0182"</f>
        <v>16066MEF0182</v>
      </c>
      <c r="H666" s="4">
        <v>256.45999999999998</v>
      </c>
      <c r="I666" s="3"/>
      <c r="J666" t="str">
        <f t="shared" si="226"/>
        <v>NARRAGANSETT BAY COMMISSION</v>
      </c>
      <c r="K666" t="str">
        <f>""</f>
        <v/>
      </c>
      <c r="L666" s="2" t="str">
        <f>"SEWER USAGE 9/14-10/13/15 AND NOV, CUSTOMER CHARGES"</f>
        <v>SEWER USAGE 9/14-10/13/15 AND NOV, CUSTOMER CHARGES</v>
      </c>
      <c r="M666" t="str">
        <f t="shared" si="227"/>
        <v>MFUSCO</v>
      </c>
    </row>
    <row r="667" spans="1:13" x14ac:dyDescent="0.25">
      <c r="A667" t="str">
        <f t="shared" si="222"/>
        <v>10</v>
      </c>
      <c r="B667" t="str">
        <f t="shared" si="223"/>
        <v>066</v>
      </c>
      <c r="C667" t="str">
        <f t="shared" si="224"/>
        <v>3010106</v>
      </c>
      <c r="D667" t="str">
        <f t="shared" si="225"/>
        <v>03</v>
      </c>
      <c r="E667" t="str">
        <f t="shared" si="228"/>
        <v>644800</v>
      </c>
      <c r="F667" t="str">
        <f>"11/30/16"</f>
        <v>11/30/16</v>
      </c>
      <c r="G667" t="str">
        <f>"17066MEF0233"</f>
        <v>17066MEF0233</v>
      </c>
      <c r="H667" s="4">
        <v>264.45</v>
      </c>
      <c r="I667" s="3"/>
      <c r="J667" t="str">
        <f t="shared" si="226"/>
        <v>NARRAGANSETT BAY COMMISSION</v>
      </c>
      <c r="K667" t="str">
        <f>""</f>
        <v/>
      </c>
      <c r="L667" s="2" t="str">
        <f>"180 SOUTH MAIN STREET SEWER FOR NOVEMBER, 2016"</f>
        <v>180 SOUTH MAIN STREET SEWER FOR NOVEMBER, 2016</v>
      </c>
      <c r="M667" t="str">
        <f t="shared" si="227"/>
        <v>MFUSCO</v>
      </c>
    </row>
    <row r="668" spans="1:13" x14ac:dyDescent="0.25">
      <c r="A668" t="str">
        <f t="shared" si="222"/>
        <v>10</v>
      </c>
      <c r="B668" t="str">
        <f t="shared" si="223"/>
        <v>066</v>
      </c>
      <c r="C668" t="str">
        <f t="shared" si="224"/>
        <v>3010106</v>
      </c>
      <c r="D668" t="str">
        <f t="shared" si="225"/>
        <v>03</v>
      </c>
      <c r="E668" t="str">
        <f t="shared" si="228"/>
        <v>644800</v>
      </c>
      <c r="F668" t="str">
        <f>"12/31/14"</f>
        <v>12/31/14</v>
      </c>
      <c r="G668" t="str">
        <f>"DEC, 2014 CHARGES"</f>
        <v>DEC, 2014 CHARGES</v>
      </c>
      <c r="H668" s="4">
        <v>219</v>
      </c>
      <c r="I668" s="3"/>
      <c r="J668" t="str">
        <f t="shared" si="226"/>
        <v>NARRAGANSETT BAY COMMISSION</v>
      </c>
      <c r="K668" t="str">
        <f>""</f>
        <v/>
      </c>
      <c r="L668" s="2" t="str">
        <f>"CONSUMPTION 9/26-12/3/14"</f>
        <v>CONSUMPTION 9/26-12/3/14</v>
      </c>
      <c r="M668" t="str">
        <f t="shared" si="227"/>
        <v>MFUSCO</v>
      </c>
    </row>
    <row r="669" spans="1:13" x14ac:dyDescent="0.25">
      <c r="A669" t="str">
        <f t="shared" si="222"/>
        <v>10</v>
      </c>
      <c r="B669" t="str">
        <f t="shared" si="223"/>
        <v>066</v>
      </c>
      <c r="C669" t="str">
        <f t="shared" si="224"/>
        <v>3010106</v>
      </c>
      <c r="D669" t="str">
        <f t="shared" si="225"/>
        <v>03</v>
      </c>
      <c r="E669" t="str">
        <f t="shared" si="228"/>
        <v>644800</v>
      </c>
      <c r="F669" t="str">
        <f>"12/31/15"</f>
        <v>12/31/15</v>
      </c>
      <c r="G669" t="str">
        <f>"16066MEF0334"</f>
        <v>16066MEF0334</v>
      </c>
      <c r="H669" s="4">
        <v>264.5</v>
      </c>
      <c r="I669" s="3"/>
      <c r="J669" t="str">
        <f t="shared" si="226"/>
        <v>NARRAGANSETT BAY COMMISSION</v>
      </c>
      <c r="K669" t="str">
        <f>""</f>
        <v/>
      </c>
      <c r="L669" s="2" t="str">
        <f>"SEWER COSTS FROM 10/13-11/12/15 &amp; DEC. CONSUMPTION"</f>
        <v>SEWER COSTS FROM 10/13-11/12/15 &amp; DEC. CONSUMPTION</v>
      </c>
      <c r="M669" t="str">
        <f t="shared" si="227"/>
        <v>MFUSCO</v>
      </c>
    </row>
    <row r="670" spans="1:13" x14ac:dyDescent="0.25">
      <c r="H670" s="6">
        <f>SUM(H630:H669)</f>
        <v>10243.879999999997</v>
      </c>
      <c r="I670" s="6">
        <f>SUM(H630:H669)</f>
        <v>10243.879999999997</v>
      </c>
      <c r="L670" s="2"/>
      <c r="M670" t="str">
        <f t="shared" si="227"/>
        <v>MFUSCO</v>
      </c>
    </row>
    <row r="671" spans="1:13" x14ac:dyDescent="0.25">
      <c r="H671" s="3"/>
      <c r="I671" s="3"/>
      <c r="L671" s="2"/>
    </row>
    <row r="672" spans="1:13" x14ac:dyDescent="0.25">
      <c r="A672" t="str">
        <f t="shared" ref="A672:A680" si="229">"10"</f>
        <v>10</v>
      </c>
      <c r="B672" t="str">
        <f t="shared" ref="B672:B680" si="230">"066"</f>
        <v>066</v>
      </c>
      <c r="C672" t="str">
        <f t="shared" ref="C672:C680" si="231">"3010106"</f>
        <v>3010106</v>
      </c>
      <c r="D672" t="str">
        <f t="shared" ref="D672:D680" si="232">"03"</f>
        <v>03</v>
      </c>
      <c r="E672" t="str">
        <f t="shared" ref="E672:E680" si="233">"640100"</f>
        <v>640100</v>
      </c>
      <c r="F672" t="str">
        <f>"01/31/17"</f>
        <v>01/31/17</v>
      </c>
      <c r="G672" t="str">
        <f>"1586870"</f>
        <v>1586870</v>
      </c>
      <c r="H672" s="3">
        <v>330.95</v>
      </c>
      <c r="I672" s="3"/>
      <c r="J672" t="str">
        <f t="shared" ref="J672:J680" si="234">"NATIONAL SECURITY CORPORATION"</f>
        <v>NATIONAL SECURITY CORPORATION</v>
      </c>
      <c r="K672" t="str">
        <f>"3501737"</f>
        <v>3501737</v>
      </c>
      <c r="L672" s="2" t="str">
        <f>"security monitoring"</f>
        <v>security monitoring</v>
      </c>
    </row>
    <row r="673" spans="1:13" x14ac:dyDescent="0.25">
      <c r="A673" t="str">
        <f t="shared" si="229"/>
        <v>10</v>
      </c>
      <c r="B673" t="str">
        <f t="shared" si="230"/>
        <v>066</v>
      </c>
      <c r="C673" t="str">
        <f t="shared" si="231"/>
        <v>3010106</v>
      </c>
      <c r="D673" t="str">
        <f t="shared" si="232"/>
        <v>03</v>
      </c>
      <c r="E673" t="str">
        <f t="shared" si="233"/>
        <v>640100</v>
      </c>
      <c r="F673" t="str">
        <f>"01/31/17"</f>
        <v>01/31/17</v>
      </c>
      <c r="G673" t="str">
        <f>"163698"</f>
        <v>163698</v>
      </c>
      <c r="H673" s="3">
        <v>155.69999999999999</v>
      </c>
      <c r="I673" s="3"/>
      <c r="J673" t="str">
        <f t="shared" si="234"/>
        <v>NATIONAL SECURITY CORPORATION</v>
      </c>
      <c r="K673" t="str">
        <f>"3501737"</f>
        <v>3501737</v>
      </c>
      <c r="L673" s="2" t="str">
        <f>"security monitoring"</f>
        <v>security monitoring</v>
      </c>
      <c r="M673" t="str">
        <f>"MFUSCO"</f>
        <v>MFUSCO</v>
      </c>
    </row>
    <row r="674" spans="1:13" x14ac:dyDescent="0.25">
      <c r="A674" t="str">
        <f t="shared" si="229"/>
        <v>10</v>
      </c>
      <c r="B674" t="str">
        <f t="shared" si="230"/>
        <v>066</v>
      </c>
      <c r="C674" t="str">
        <f t="shared" si="231"/>
        <v>3010106</v>
      </c>
      <c r="D674" t="str">
        <f t="shared" si="232"/>
        <v>03</v>
      </c>
      <c r="E674" t="str">
        <f t="shared" si="233"/>
        <v>640100</v>
      </c>
      <c r="F674" t="str">
        <f>"02/28/15"</f>
        <v>02/28/15</v>
      </c>
      <c r="G674" t="str">
        <f>"152217"</f>
        <v>152217</v>
      </c>
      <c r="H674" s="3">
        <v>-7365.7</v>
      </c>
      <c r="I674" s="3"/>
      <c r="J674" t="str">
        <f t="shared" si="234"/>
        <v>NATIONAL SECURITY CORPORATION</v>
      </c>
      <c r="K674" t="str">
        <f>"3408434"</f>
        <v>3408434</v>
      </c>
      <c r="L674" s="2" t="str">
        <f>"Intrusion Security upgrade 150 and 180"</f>
        <v>Intrusion Security upgrade 150 and 180</v>
      </c>
      <c r="M674" t="str">
        <f>"MFUSCO"</f>
        <v>MFUSCO</v>
      </c>
    </row>
    <row r="675" spans="1:13" x14ac:dyDescent="0.25">
      <c r="A675" t="str">
        <f t="shared" si="229"/>
        <v>10</v>
      </c>
      <c r="B675" t="str">
        <f t="shared" si="230"/>
        <v>066</v>
      </c>
      <c r="C675" t="str">
        <f t="shared" si="231"/>
        <v>3010106</v>
      </c>
      <c r="D675" t="str">
        <f t="shared" si="232"/>
        <v>03</v>
      </c>
      <c r="E675" t="str">
        <f t="shared" si="233"/>
        <v>640100</v>
      </c>
      <c r="F675" t="str">
        <f>"02/28/15"</f>
        <v>02/28/15</v>
      </c>
      <c r="G675" t="str">
        <f>"152217"</f>
        <v>152217</v>
      </c>
      <c r="H675" s="3">
        <v>7365.7</v>
      </c>
      <c r="I675" s="3"/>
      <c r="J675" t="str">
        <f t="shared" si="234"/>
        <v>NATIONAL SECURITY CORPORATION</v>
      </c>
      <c r="K675" t="str">
        <f>"3408434"</f>
        <v>3408434</v>
      </c>
      <c r="L675" s="2" t="str">
        <f>"Intrusion Security upgrade 150 and 180"</f>
        <v>Intrusion Security upgrade 150 and 180</v>
      </c>
      <c r="M675" t="str">
        <f t="shared" ref="M675:M681" si="235">"SVALLANT"</f>
        <v>SVALLANT</v>
      </c>
    </row>
    <row r="676" spans="1:13" x14ac:dyDescent="0.25">
      <c r="A676" t="str">
        <f t="shared" si="229"/>
        <v>10</v>
      </c>
      <c r="B676" t="str">
        <f t="shared" si="230"/>
        <v>066</v>
      </c>
      <c r="C676" t="str">
        <f t="shared" si="231"/>
        <v>3010106</v>
      </c>
      <c r="D676" t="str">
        <f t="shared" si="232"/>
        <v>03</v>
      </c>
      <c r="E676" t="str">
        <f t="shared" si="233"/>
        <v>640100</v>
      </c>
      <c r="F676" t="str">
        <f>"02/28/15"</f>
        <v>02/28/15</v>
      </c>
      <c r="G676" t="str">
        <f>"152217"</f>
        <v>152217</v>
      </c>
      <c r="H676" s="3">
        <v>5140.7</v>
      </c>
      <c r="I676" s="3"/>
      <c r="J676" t="str">
        <f t="shared" si="234"/>
        <v>NATIONAL SECURITY CORPORATION</v>
      </c>
      <c r="K676" t="str">
        <f>"3408434"</f>
        <v>3408434</v>
      </c>
      <c r="L676" s="2" t="str">
        <f>"Intrusion Security upgrade 150 and 180"</f>
        <v>Intrusion Security upgrade 150 and 180</v>
      </c>
      <c r="M676" t="str">
        <f t="shared" si="235"/>
        <v>SVALLANT</v>
      </c>
    </row>
    <row r="677" spans="1:13" x14ac:dyDescent="0.25">
      <c r="A677" t="str">
        <f t="shared" si="229"/>
        <v>10</v>
      </c>
      <c r="B677" t="str">
        <f t="shared" si="230"/>
        <v>066</v>
      </c>
      <c r="C677" t="str">
        <f t="shared" si="231"/>
        <v>3010106</v>
      </c>
      <c r="D677" t="str">
        <f t="shared" si="232"/>
        <v>03</v>
      </c>
      <c r="E677" t="str">
        <f t="shared" si="233"/>
        <v>640100</v>
      </c>
      <c r="F677" t="str">
        <f>"02/28/17"</f>
        <v>02/28/17</v>
      </c>
      <c r="G677" t="str">
        <f>"167441"</f>
        <v>167441</v>
      </c>
      <c r="H677" s="3">
        <v>155.69999999999999</v>
      </c>
      <c r="I677" s="3"/>
      <c r="J677" t="str">
        <f t="shared" si="234"/>
        <v>NATIONAL SECURITY CORPORATION</v>
      </c>
      <c r="K677" t="str">
        <f>"3502783"</f>
        <v>3502783</v>
      </c>
      <c r="L677" s="2" t="str">
        <f>"security monitoring"</f>
        <v>security monitoring</v>
      </c>
      <c r="M677" t="str">
        <f t="shared" si="235"/>
        <v>SVALLANT</v>
      </c>
    </row>
    <row r="678" spans="1:13" x14ac:dyDescent="0.25">
      <c r="A678" t="str">
        <f t="shared" si="229"/>
        <v>10</v>
      </c>
      <c r="B678" t="str">
        <f t="shared" si="230"/>
        <v>066</v>
      </c>
      <c r="C678" t="str">
        <f t="shared" si="231"/>
        <v>3010106</v>
      </c>
      <c r="D678" t="str">
        <f t="shared" si="232"/>
        <v>03</v>
      </c>
      <c r="E678" t="str">
        <f t="shared" si="233"/>
        <v>640100</v>
      </c>
      <c r="F678" t="str">
        <f>"02/28/17"</f>
        <v>02/28/17</v>
      </c>
      <c r="G678" t="str">
        <f>"170207"</f>
        <v>170207</v>
      </c>
      <c r="H678" s="3">
        <v>330.95</v>
      </c>
      <c r="I678" s="3"/>
      <c r="J678" t="str">
        <f t="shared" si="234"/>
        <v>NATIONAL SECURITY CORPORATION</v>
      </c>
      <c r="K678" t="str">
        <f>"3502783"</f>
        <v>3502783</v>
      </c>
      <c r="L678" s="2" t="str">
        <f>"security monitoring"</f>
        <v>security monitoring</v>
      </c>
      <c r="M678" t="str">
        <f t="shared" si="235"/>
        <v>SVALLANT</v>
      </c>
    </row>
    <row r="679" spans="1:13" x14ac:dyDescent="0.25">
      <c r="A679" t="str">
        <f t="shared" si="229"/>
        <v>10</v>
      </c>
      <c r="B679" t="str">
        <f t="shared" si="230"/>
        <v>066</v>
      </c>
      <c r="C679" t="str">
        <f t="shared" si="231"/>
        <v>3010106</v>
      </c>
      <c r="D679" t="str">
        <f t="shared" si="232"/>
        <v>03</v>
      </c>
      <c r="E679" t="str">
        <f t="shared" si="233"/>
        <v>640100</v>
      </c>
      <c r="F679" t="str">
        <f>"03/31/15"</f>
        <v>03/31/15</v>
      </c>
      <c r="G679" t="str">
        <f>"152216"</f>
        <v>152216</v>
      </c>
      <c r="H679" s="3">
        <v>2225</v>
      </c>
      <c r="I679" s="3"/>
      <c r="J679" t="str">
        <f t="shared" si="234"/>
        <v>NATIONAL SECURITY CORPORATION</v>
      </c>
      <c r="K679" t="str">
        <f>"3408434"</f>
        <v>3408434</v>
      </c>
      <c r="L679" s="2" t="str">
        <f>"Intrusion Security upgrade 150 and 180"</f>
        <v>Intrusion Security upgrade 150 and 180</v>
      </c>
      <c r="M679" t="str">
        <f t="shared" si="235"/>
        <v>SVALLANT</v>
      </c>
    </row>
    <row r="680" spans="1:13" x14ac:dyDescent="0.25">
      <c r="A680" t="str">
        <f t="shared" si="229"/>
        <v>10</v>
      </c>
      <c r="B680" t="str">
        <f t="shared" si="230"/>
        <v>066</v>
      </c>
      <c r="C680" t="str">
        <f t="shared" si="231"/>
        <v>3010106</v>
      </c>
      <c r="D680" t="str">
        <f t="shared" si="232"/>
        <v>03</v>
      </c>
      <c r="E680" t="str">
        <f t="shared" si="233"/>
        <v>640100</v>
      </c>
      <c r="F680" t="str">
        <f>"06/30/15"</f>
        <v>06/30/15</v>
      </c>
      <c r="G680" t="str">
        <f>"0000068169"</f>
        <v>0000068169</v>
      </c>
      <c r="H680" s="3">
        <v>442.95</v>
      </c>
      <c r="I680" s="3"/>
      <c r="J680" t="str">
        <f t="shared" si="234"/>
        <v>NATIONAL SECURITY CORPORATION</v>
      </c>
      <c r="K680" t="str">
        <f>"3425097"</f>
        <v>3425097</v>
      </c>
      <c r="L680" s="2" t="str">
        <f>"security service @ 180"</f>
        <v>security service @ 180</v>
      </c>
      <c r="M680" t="str">
        <f t="shared" si="235"/>
        <v>SVALLANT</v>
      </c>
    </row>
    <row r="681" spans="1:13" x14ac:dyDescent="0.25">
      <c r="H681" s="6">
        <f>SUM(H672:H680)</f>
        <v>8781.9500000000007</v>
      </c>
      <c r="I681" s="6">
        <f>SUM(H672:H680)</f>
        <v>8781.9500000000007</v>
      </c>
      <c r="L681" s="2"/>
      <c r="M681" t="str">
        <f t="shared" si="235"/>
        <v>SVALLANT</v>
      </c>
    </row>
    <row r="682" spans="1:13" x14ac:dyDescent="0.25">
      <c r="H682" s="3"/>
      <c r="I682" s="3"/>
      <c r="L682" s="2"/>
    </row>
    <row r="683" spans="1:13" ht="30" x14ac:dyDescent="0.25">
      <c r="A683" t="str">
        <f t="shared" ref="A683:A730" si="236">"10"</f>
        <v>10</v>
      </c>
      <c r="B683" t="str">
        <f t="shared" ref="B683:B730" si="237">"066"</f>
        <v>066</v>
      </c>
      <c r="C683" t="str">
        <f t="shared" ref="C683:C730" si="238">"3010106"</f>
        <v>3010106</v>
      </c>
      <c r="D683" t="str">
        <f t="shared" ref="D683:D730" si="239">"03"</f>
        <v>03</v>
      </c>
      <c r="E683" t="str">
        <f t="shared" ref="E683:E717" si="240">"632180"</f>
        <v>632180</v>
      </c>
      <c r="F683" t="str">
        <f>"01/31/15"</f>
        <v>01/31/15</v>
      </c>
      <c r="G683" t="str">
        <f>"250678"</f>
        <v>250678</v>
      </c>
      <c r="H683" s="3">
        <v>2500</v>
      </c>
      <c r="I683" s="3"/>
      <c r="J683" t="str">
        <f t="shared" ref="J683:J730" si="241">"NAVISITE INC"</f>
        <v>NAVISITE INC</v>
      </c>
      <c r="K683" t="str">
        <f t="shared" ref="K683:K727" si="242">"3376247"</f>
        <v>3376247</v>
      </c>
      <c r="L683" s="2" t="str">
        <f t="shared" ref="L683:L699" si="243">"APA-13851 - 5/8/14-6/30/17 - NCIS VAULT, END-TO-END, 10TB COMMITMENT - 36 MOS. @ $2,500.00 = $90,000.00"</f>
        <v>APA-13851 - 5/8/14-6/30/17 - NCIS VAULT, END-TO-END, 10TB COMMITMENT - 36 MOS. @ $2,500.00 = $90,000.00</v>
      </c>
    </row>
    <row r="684" spans="1:13" ht="30" x14ac:dyDescent="0.25">
      <c r="A684" t="str">
        <f t="shared" si="236"/>
        <v>10</v>
      </c>
      <c r="B684" t="str">
        <f t="shared" si="237"/>
        <v>066</v>
      </c>
      <c r="C684" t="str">
        <f t="shared" si="238"/>
        <v>3010106</v>
      </c>
      <c r="D684" t="str">
        <f t="shared" si="239"/>
        <v>03</v>
      </c>
      <c r="E684" t="str">
        <f t="shared" si="240"/>
        <v>632180</v>
      </c>
      <c r="F684" t="str">
        <f>"01/31/15"</f>
        <v>01/31/15</v>
      </c>
      <c r="G684" t="str">
        <f>"251628"</f>
        <v>251628</v>
      </c>
      <c r="H684" s="3">
        <v>2500</v>
      </c>
      <c r="I684" s="3"/>
      <c r="J684" t="str">
        <f t="shared" si="241"/>
        <v>NAVISITE INC</v>
      </c>
      <c r="K684" t="str">
        <f t="shared" si="242"/>
        <v>3376247</v>
      </c>
      <c r="L684" s="2" t="str">
        <f t="shared" si="243"/>
        <v>APA-13851 - 5/8/14-6/30/17 - NCIS VAULT, END-TO-END, 10TB COMMITMENT - 36 MOS. @ $2,500.00 = $90,000.00</v>
      </c>
      <c r="M684" t="str">
        <f t="shared" ref="M684:M728" si="244">"SVALLANT"</f>
        <v>SVALLANT</v>
      </c>
    </row>
    <row r="685" spans="1:13" ht="30" x14ac:dyDescent="0.25">
      <c r="A685" t="str">
        <f t="shared" si="236"/>
        <v>10</v>
      </c>
      <c r="B685" t="str">
        <f t="shared" si="237"/>
        <v>066</v>
      </c>
      <c r="C685" t="str">
        <f t="shared" si="238"/>
        <v>3010106</v>
      </c>
      <c r="D685" t="str">
        <f t="shared" si="239"/>
        <v>03</v>
      </c>
      <c r="E685" t="str">
        <f t="shared" si="240"/>
        <v>632180</v>
      </c>
      <c r="F685" t="str">
        <f>"01/31/15"</f>
        <v>01/31/15</v>
      </c>
      <c r="G685" t="str">
        <f>"252684"</f>
        <v>252684</v>
      </c>
      <c r="H685" s="3">
        <v>2500</v>
      </c>
      <c r="I685" s="3"/>
      <c r="J685" t="str">
        <f t="shared" si="241"/>
        <v>NAVISITE INC</v>
      </c>
      <c r="K685" t="str">
        <f t="shared" si="242"/>
        <v>3376247</v>
      </c>
      <c r="L685" s="2" t="str">
        <f t="shared" si="243"/>
        <v>APA-13851 - 5/8/14-6/30/17 - NCIS VAULT, END-TO-END, 10TB COMMITMENT - 36 MOS. @ $2,500.00 = $90,000.00</v>
      </c>
      <c r="M685" t="str">
        <f t="shared" si="244"/>
        <v>SVALLANT</v>
      </c>
    </row>
    <row r="686" spans="1:13" ht="30" x14ac:dyDescent="0.25">
      <c r="A686" t="str">
        <f t="shared" si="236"/>
        <v>10</v>
      </c>
      <c r="B686" t="str">
        <f t="shared" si="237"/>
        <v>066</v>
      </c>
      <c r="C686" t="str">
        <f t="shared" si="238"/>
        <v>3010106</v>
      </c>
      <c r="D686" t="str">
        <f t="shared" si="239"/>
        <v>03</v>
      </c>
      <c r="E686" t="str">
        <f t="shared" si="240"/>
        <v>632180</v>
      </c>
      <c r="F686" t="str">
        <f>"01/31/16"</f>
        <v>01/31/16</v>
      </c>
      <c r="G686" t="str">
        <f>"266659"</f>
        <v>266659</v>
      </c>
      <c r="H686" s="3">
        <v>2500</v>
      </c>
      <c r="I686" s="3"/>
      <c r="J686" t="str">
        <f t="shared" si="241"/>
        <v>NAVISITE INC</v>
      </c>
      <c r="K686" t="str">
        <f t="shared" si="242"/>
        <v>3376247</v>
      </c>
      <c r="L686" s="2" t="str">
        <f t="shared" si="243"/>
        <v>APA-13851 - 5/8/14-6/30/17 - NCIS VAULT, END-TO-END, 10TB COMMITMENT - 36 MOS. @ $2,500.00 = $90,000.00</v>
      </c>
      <c r="M686" t="str">
        <f t="shared" si="244"/>
        <v>SVALLANT</v>
      </c>
    </row>
    <row r="687" spans="1:13" ht="30" x14ac:dyDescent="0.25">
      <c r="A687" t="str">
        <f t="shared" si="236"/>
        <v>10</v>
      </c>
      <c r="B687" t="str">
        <f t="shared" si="237"/>
        <v>066</v>
      </c>
      <c r="C687" t="str">
        <f t="shared" si="238"/>
        <v>3010106</v>
      </c>
      <c r="D687" t="str">
        <f t="shared" si="239"/>
        <v>03</v>
      </c>
      <c r="E687" t="str">
        <f t="shared" si="240"/>
        <v>632180</v>
      </c>
      <c r="F687" t="str">
        <f>"01/31/16"</f>
        <v>01/31/16</v>
      </c>
      <c r="G687" t="str">
        <f>"267191"</f>
        <v>267191</v>
      </c>
      <c r="H687" s="4">
        <v>2500</v>
      </c>
      <c r="I687" s="3"/>
      <c r="J687" t="str">
        <f t="shared" si="241"/>
        <v>NAVISITE INC</v>
      </c>
      <c r="K687" t="str">
        <f t="shared" si="242"/>
        <v>3376247</v>
      </c>
      <c r="L687" s="2" t="str">
        <f t="shared" si="243"/>
        <v>APA-13851 - 5/8/14-6/30/17 - NCIS VAULT, END-TO-END, 10TB COMMITMENT - 36 MOS. @ $2,500.00 = $90,000.00</v>
      </c>
      <c r="M687" t="str">
        <f t="shared" si="244"/>
        <v>SVALLANT</v>
      </c>
    </row>
    <row r="688" spans="1:13" ht="30" x14ac:dyDescent="0.25">
      <c r="A688" t="str">
        <f t="shared" si="236"/>
        <v>10</v>
      </c>
      <c r="B688" t="str">
        <f t="shared" si="237"/>
        <v>066</v>
      </c>
      <c r="C688" t="str">
        <f t="shared" si="238"/>
        <v>3010106</v>
      </c>
      <c r="D688" t="str">
        <f t="shared" si="239"/>
        <v>03</v>
      </c>
      <c r="E688" t="str">
        <f t="shared" si="240"/>
        <v>632180</v>
      </c>
      <c r="F688" t="str">
        <f>"01/31/17"</f>
        <v>01/31/17</v>
      </c>
      <c r="G688" t="str">
        <f>"276563"</f>
        <v>276563</v>
      </c>
      <c r="H688" s="4">
        <v>2500</v>
      </c>
      <c r="I688" s="3"/>
      <c r="J688" t="str">
        <f t="shared" si="241"/>
        <v>NAVISITE INC</v>
      </c>
      <c r="K688" t="str">
        <f t="shared" si="242"/>
        <v>3376247</v>
      </c>
      <c r="L688" s="2" t="str">
        <f t="shared" si="243"/>
        <v>APA-13851 - 5/8/14-6/30/17 - NCIS VAULT, END-TO-END, 10TB COMMITMENT - 36 MOS. @ $2,500.00 = $90,000.00</v>
      </c>
      <c r="M688" t="str">
        <f t="shared" si="244"/>
        <v>SVALLANT</v>
      </c>
    </row>
    <row r="689" spans="1:13" ht="30" x14ac:dyDescent="0.25">
      <c r="A689" t="str">
        <f t="shared" si="236"/>
        <v>10</v>
      </c>
      <c r="B689" t="str">
        <f t="shared" si="237"/>
        <v>066</v>
      </c>
      <c r="C689" t="str">
        <f t="shared" si="238"/>
        <v>3010106</v>
      </c>
      <c r="D689" t="str">
        <f t="shared" si="239"/>
        <v>03</v>
      </c>
      <c r="E689" t="str">
        <f t="shared" si="240"/>
        <v>632180</v>
      </c>
      <c r="F689" t="str">
        <f>"01/31/17"</f>
        <v>01/31/17</v>
      </c>
      <c r="G689" t="str">
        <f>"279198"</f>
        <v>279198</v>
      </c>
      <c r="H689" s="4">
        <v>2500</v>
      </c>
      <c r="I689" s="3"/>
      <c r="J689" t="str">
        <f t="shared" si="241"/>
        <v>NAVISITE INC</v>
      </c>
      <c r="K689" t="str">
        <f t="shared" si="242"/>
        <v>3376247</v>
      </c>
      <c r="L689" s="2" t="str">
        <f t="shared" si="243"/>
        <v>APA-13851 - 5/8/14-6/30/17 - NCIS VAULT, END-TO-END, 10TB COMMITMENT - 36 MOS. @ $2,500.00 = $90,000.00</v>
      </c>
      <c r="M689" t="str">
        <f t="shared" si="244"/>
        <v>SVALLANT</v>
      </c>
    </row>
    <row r="690" spans="1:13" ht="30" x14ac:dyDescent="0.25">
      <c r="A690" t="str">
        <f t="shared" si="236"/>
        <v>10</v>
      </c>
      <c r="B690" t="str">
        <f t="shared" si="237"/>
        <v>066</v>
      </c>
      <c r="C690" t="str">
        <f t="shared" si="238"/>
        <v>3010106</v>
      </c>
      <c r="D690" t="str">
        <f t="shared" si="239"/>
        <v>03</v>
      </c>
      <c r="E690" t="str">
        <f t="shared" si="240"/>
        <v>632180</v>
      </c>
      <c r="F690" t="str">
        <f>"01/31/17"</f>
        <v>01/31/17</v>
      </c>
      <c r="G690" t="str">
        <f>"280603"</f>
        <v>280603</v>
      </c>
      <c r="H690" s="4">
        <v>2500</v>
      </c>
      <c r="I690" s="3"/>
      <c r="J690" t="str">
        <f t="shared" si="241"/>
        <v>NAVISITE INC</v>
      </c>
      <c r="K690" t="str">
        <f t="shared" si="242"/>
        <v>3376247</v>
      </c>
      <c r="L690" s="2" t="str">
        <f t="shared" si="243"/>
        <v>APA-13851 - 5/8/14-6/30/17 - NCIS VAULT, END-TO-END, 10TB COMMITMENT - 36 MOS. @ $2,500.00 = $90,000.00</v>
      </c>
      <c r="M690" t="str">
        <f t="shared" si="244"/>
        <v>SVALLANT</v>
      </c>
    </row>
    <row r="691" spans="1:13" ht="30" x14ac:dyDescent="0.25">
      <c r="A691" t="str">
        <f t="shared" si="236"/>
        <v>10</v>
      </c>
      <c r="B691" t="str">
        <f t="shared" si="237"/>
        <v>066</v>
      </c>
      <c r="C691" t="str">
        <f t="shared" si="238"/>
        <v>3010106</v>
      </c>
      <c r="D691" t="str">
        <f t="shared" si="239"/>
        <v>03</v>
      </c>
      <c r="E691" t="str">
        <f t="shared" si="240"/>
        <v>632180</v>
      </c>
      <c r="F691" t="str">
        <f>"01/31/17"</f>
        <v>01/31/17</v>
      </c>
      <c r="G691" t="str">
        <f>"281811"</f>
        <v>281811</v>
      </c>
      <c r="H691" s="4">
        <v>2500</v>
      </c>
      <c r="I691" s="3"/>
      <c r="J691" t="str">
        <f t="shared" si="241"/>
        <v>NAVISITE INC</v>
      </c>
      <c r="K691" t="str">
        <f t="shared" si="242"/>
        <v>3376247</v>
      </c>
      <c r="L691" s="2" t="str">
        <f t="shared" si="243"/>
        <v>APA-13851 - 5/8/14-6/30/17 - NCIS VAULT, END-TO-END, 10TB COMMITMENT - 36 MOS. @ $2,500.00 = $90,000.00</v>
      </c>
      <c r="M691" t="str">
        <f t="shared" si="244"/>
        <v>SVALLANT</v>
      </c>
    </row>
    <row r="692" spans="1:13" ht="30" x14ac:dyDescent="0.25">
      <c r="A692" t="str">
        <f t="shared" si="236"/>
        <v>10</v>
      </c>
      <c r="B692" t="str">
        <f t="shared" si="237"/>
        <v>066</v>
      </c>
      <c r="C692" t="str">
        <f t="shared" si="238"/>
        <v>3010106</v>
      </c>
      <c r="D692" t="str">
        <f t="shared" si="239"/>
        <v>03</v>
      </c>
      <c r="E692" t="str">
        <f t="shared" si="240"/>
        <v>632180</v>
      </c>
      <c r="F692" t="str">
        <f>"02/28/15"</f>
        <v>02/28/15</v>
      </c>
      <c r="G692" t="str">
        <f>"253820"</f>
        <v>253820</v>
      </c>
      <c r="H692" s="4">
        <v>2500</v>
      </c>
      <c r="I692" s="3"/>
      <c r="J692" t="str">
        <f t="shared" si="241"/>
        <v>NAVISITE INC</v>
      </c>
      <c r="K692" t="str">
        <f t="shared" si="242"/>
        <v>3376247</v>
      </c>
      <c r="L692" s="2" t="str">
        <f t="shared" si="243"/>
        <v>APA-13851 - 5/8/14-6/30/17 - NCIS VAULT, END-TO-END, 10TB COMMITMENT - 36 MOS. @ $2,500.00 = $90,000.00</v>
      </c>
      <c r="M692" t="str">
        <f t="shared" si="244"/>
        <v>SVALLANT</v>
      </c>
    </row>
    <row r="693" spans="1:13" ht="30" x14ac:dyDescent="0.25">
      <c r="A693" t="str">
        <f t="shared" si="236"/>
        <v>10</v>
      </c>
      <c r="B693" t="str">
        <f t="shared" si="237"/>
        <v>066</v>
      </c>
      <c r="C693" t="str">
        <f t="shared" si="238"/>
        <v>3010106</v>
      </c>
      <c r="D693" t="str">
        <f t="shared" si="239"/>
        <v>03</v>
      </c>
      <c r="E693" t="str">
        <f t="shared" si="240"/>
        <v>632180</v>
      </c>
      <c r="F693" t="str">
        <f>"02/29/16"</f>
        <v>02/29/16</v>
      </c>
      <c r="G693" t="str">
        <f>"267956"</f>
        <v>267956</v>
      </c>
      <c r="H693" s="4">
        <v>2500</v>
      </c>
      <c r="I693" s="3"/>
      <c r="J693" t="str">
        <f t="shared" si="241"/>
        <v>NAVISITE INC</v>
      </c>
      <c r="K693" t="str">
        <f t="shared" si="242"/>
        <v>3376247</v>
      </c>
      <c r="L693" s="2" t="str">
        <f t="shared" si="243"/>
        <v>APA-13851 - 5/8/14-6/30/17 - NCIS VAULT, END-TO-END, 10TB COMMITMENT - 36 MOS. @ $2,500.00 = $90,000.00</v>
      </c>
      <c r="M693" t="str">
        <f t="shared" si="244"/>
        <v>SVALLANT</v>
      </c>
    </row>
    <row r="694" spans="1:13" ht="30" x14ac:dyDescent="0.25">
      <c r="A694" t="str">
        <f t="shared" si="236"/>
        <v>10</v>
      </c>
      <c r="B694" t="str">
        <f t="shared" si="237"/>
        <v>066</v>
      </c>
      <c r="C694" t="str">
        <f t="shared" si="238"/>
        <v>3010106</v>
      </c>
      <c r="D694" t="str">
        <f t="shared" si="239"/>
        <v>03</v>
      </c>
      <c r="E694" t="str">
        <f t="shared" si="240"/>
        <v>632180</v>
      </c>
      <c r="F694" t="str">
        <f>"03/31/15"</f>
        <v>03/31/15</v>
      </c>
      <c r="G694" t="str">
        <f>"254915"</f>
        <v>254915</v>
      </c>
      <c r="H694" s="4">
        <v>2500</v>
      </c>
      <c r="I694" s="3"/>
      <c r="J694" t="str">
        <f t="shared" si="241"/>
        <v>NAVISITE INC</v>
      </c>
      <c r="K694" t="str">
        <f t="shared" si="242"/>
        <v>3376247</v>
      </c>
      <c r="L694" s="2" t="str">
        <f t="shared" si="243"/>
        <v>APA-13851 - 5/8/14-6/30/17 - NCIS VAULT, END-TO-END, 10TB COMMITMENT - 36 MOS. @ $2,500.00 = $90,000.00</v>
      </c>
      <c r="M694" t="str">
        <f t="shared" si="244"/>
        <v>SVALLANT</v>
      </c>
    </row>
    <row r="695" spans="1:13" ht="30" x14ac:dyDescent="0.25">
      <c r="A695" t="str">
        <f t="shared" si="236"/>
        <v>10</v>
      </c>
      <c r="B695" t="str">
        <f t="shared" si="237"/>
        <v>066</v>
      </c>
      <c r="C695" t="str">
        <f t="shared" si="238"/>
        <v>3010106</v>
      </c>
      <c r="D695" t="str">
        <f t="shared" si="239"/>
        <v>03</v>
      </c>
      <c r="E695" t="str">
        <f t="shared" si="240"/>
        <v>632180</v>
      </c>
      <c r="F695" t="str">
        <f>"03/31/16"</f>
        <v>03/31/16</v>
      </c>
      <c r="G695" t="str">
        <f>"269136"</f>
        <v>269136</v>
      </c>
      <c r="H695" s="4">
        <v>2500</v>
      </c>
      <c r="I695" s="3"/>
      <c r="J695" t="str">
        <f t="shared" si="241"/>
        <v>NAVISITE INC</v>
      </c>
      <c r="K695" t="str">
        <f t="shared" si="242"/>
        <v>3376247</v>
      </c>
      <c r="L695" s="2" t="str">
        <f t="shared" si="243"/>
        <v>APA-13851 - 5/8/14-6/30/17 - NCIS VAULT, END-TO-END, 10TB COMMITMENT - 36 MOS. @ $2,500.00 = $90,000.00</v>
      </c>
      <c r="M695" t="str">
        <f t="shared" si="244"/>
        <v>SVALLANT</v>
      </c>
    </row>
    <row r="696" spans="1:13" ht="30" x14ac:dyDescent="0.25">
      <c r="A696" t="str">
        <f t="shared" si="236"/>
        <v>10</v>
      </c>
      <c r="B696" t="str">
        <f t="shared" si="237"/>
        <v>066</v>
      </c>
      <c r="C696" t="str">
        <f t="shared" si="238"/>
        <v>3010106</v>
      </c>
      <c r="D696" t="str">
        <f t="shared" si="239"/>
        <v>03</v>
      </c>
      <c r="E696" t="str">
        <f t="shared" si="240"/>
        <v>632180</v>
      </c>
      <c r="F696" t="str">
        <f>"03/31/17"</f>
        <v>03/31/17</v>
      </c>
      <c r="G696" t="str">
        <f>"283022"</f>
        <v>283022</v>
      </c>
      <c r="H696" s="4">
        <v>2500</v>
      </c>
      <c r="I696" s="3"/>
      <c r="J696" t="str">
        <f t="shared" si="241"/>
        <v>NAVISITE INC</v>
      </c>
      <c r="K696" t="str">
        <f t="shared" si="242"/>
        <v>3376247</v>
      </c>
      <c r="L696" s="2" t="str">
        <f t="shared" si="243"/>
        <v>APA-13851 - 5/8/14-6/30/17 - NCIS VAULT, END-TO-END, 10TB COMMITMENT - 36 MOS. @ $2,500.00 = $90,000.00</v>
      </c>
      <c r="M696" t="str">
        <f t="shared" si="244"/>
        <v>SVALLANT</v>
      </c>
    </row>
    <row r="697" spans="1:13" ht="30" x14ac:dyDescent="0.25">
      <c r="A697" t="str">
        <f t="shared" si="236"/>
        <v>10</v>
      </c>
      <c r="B697" t="str">
        <f t="shared" si="237"/>
        <v>066</v>
      </c>
      <c r="C697" t="str">
        <f t="shared" si="238"/>
        <v>3010106</v>
      </c>
      <c r="D697" t="str">
        <f t="shared" si="239"/>
        <v>03</v>
      </c>
      <c r="E697" t="str">
        <f t="shared" si="240"/>
        <v>632180</v>
      </c>
      <c r="F697" t="str">
        <f>"04/30/15"</f>
        <v>04/30/15</v>
      </c>
      <c r="G697" t="str">
        <f>"256234"</f>
        <v>256234</v>
      </c>
      <c r="H697" s="4">
        <v>2500</v>
      </c>
      <c r="I697" s="3"/>
      <c r="J697" t="str">
        <f t="shared" si="241"/>
        <v>NAVISITE INC</v>
      </c>
      <c r="K697" t="str">
        <f t="shared" si="242"/>
        <v>3376247</v>
      </c>
      <c r="L697" s="2" t="str">
        <f t="shared" si="243"/>
        <v>APA-13851 - 5/8/14-6/30/17 - NCIS VAULT, END-TO-END, 10TB COMMITMENT - 36 MOS. @ $2,500.00 = $90,000.00</v>
      </c>
      <c r="M697" t="str">
        <f t="shared" si="244"/>
        <v>SVALLANT</v>
      </c>
    </row>
    <row r="698" spans="1:13" ht="30" x14ac:dyDescent="0.25">
      <c r="A698" t="str">
        <f t="shared" si="236"/>
        <v>10</v>
      </c>
      <c r="B698" t="str">
        <f t="shared" si="237"/>
        <v>066</v>
      </c>
      <c r="C698" t="str">
        <f t="shared" si="238"/>
        <v>3010106</v>
      </c>
      <c r="D698" t="str">
        <f t="shared" si="239"/>
        <v>03</v>
      </c>
      <c r="E698" t="str">
        <f t="shared" si="240"/>
        <v>632180</v>
      </c>
      <c r="F698" t="str">
        <f>"04/30/15"</f>
        <v>04/30/15</v>
      </c>
      <c r="G698" t="str">
        <f>"256914"</f>
        <v>256914</v>
      </c>
      <c r="H698" s="4">
        <v>2500</v>
      </c>
      <c r="I698" s="3"/>
      <c r="J698" t="str">
        <f t="shared" si="241"/>
        <v>NAVISITE INC</v>
      </c>
      <c r="K698" t="str">
        <f t="shared" si="242"/>
        <v>3376247</v>
      </c>
      <c r="L698" s="2" t="str">
        <f t="shared" si="243"/>
        <v>APA-13851 - 5/8/14-6/30/17 - NCIS VAULT, END-TO-END, 10TB COMMITMENT - 36 MOS. @ $2,500.00 = $90,000.00</v>
      </c>
      <c r="M698" t="str">
        <f t="shared" si="244"/>
        <v>SVALLANT</v>
      </c>
    </row>
    <row r="699" spans="1:13" ht="30" x14ac:dyDescent="0.25">
      <c r="A699" t="str">
        <f t="shared" si="236"/>
        <v>10</v>
      </c>
      <c r="B699" t="str">
        <f t="shared" si="237"/>
        <v>066</v>
      </c>
      <c r="C699" t="str">
        <f t="shared" si="238"/>
        <v>3010106</v>
      </c>
      <c r="D699" t="str">
        <f t="shared" si="239"/>
        <v>03</v>
      </c>
      <c r="E699" t="str">
        <f t="shared" si="240"/>
        <v>632180</v>
      </c>
      <c r="F699" t="str">
        <f>"04/30/16"</f>
        <v>04/30/16</v>
      </c>
      <c r="G699" t="str">
        <f>"270432"</f>
        <v>270432</v>
      </c>
      <c r="H699" s="4">
        <v>2500</v>
      </c>
      <c r="I699" s="3"/>
      <c r="J699" t="str">
        <f t="shared" si="241"/>
        <v>NAVISITE INC</v>
      </c>
      <c r="K699" t="str">
        <f t="shared" si="242"/>
        <v>3376247</v>
      </c>
      <c r="L699" s="2" t="str">
        <f t="shared" si="243"/>
        <v>APA-13851 - 5/8/14-6/30/17 - NCIS VAULT, END-TO-END, 10TB COMMITMENT - 36 MOS. @ $2,500.00 = $90,000.00</v>
      </c>
      <c r="M699" t="str">
        <f t="shared" si="244"/>
        <v>SVALLANT</v>
      </c>
    </row>
    <row r="700" spans="1:13" ht="30" x14ac:dyDescent="0.25">
      <c r="A700" t="str">
        <f t="shared" si="236"/>
        <v>10</v>
      </c>
      <c r="B700" t="str">
        <f t="shared" si="237"/>
        <v>066</v>
      </c>
      <c r="C700" t="str">
        <f t="shared" si="238"/>
        <v>3010106</v>
      </c>
      <c r="D700" t="str">
        <f t="shared" si="239"/>
        <v>03</v>
      </c>
      <c r="E700" t="str">
        <f t="shared" si="240"/>
        <v>632180</v>
      </c>
      <c r="F700" t="str">
        <f>"04/30/17"</f>
        <v>04/30/17</v>
      </c>
      <c r="G700" t="str">
        <f>"282434"</f>
        <v>282434</v>
      </c>
      <c r="H700" s="4">
        <v>11250</v>
      </c>
      <c r="I700" s="3"/>
      <c r="J700" t="str">
        <f t="shared" si="241"/>
        <v>NAVISITE INC</v>
      </c>
      <c r="K700" t="str">
        <f t="shared" si="242"/>
        <v>3376247</v>
      </c>
      <c r="L700" s="2" t="str">
        <f>"APA-13851 FY17 ACT-ISERV16 CUSTOM SOW SERVICES TO ADD ADDITIONAL STORAGE FOR ON PREMISE DEVICE AT RIAG"</f>
        <v>APA-13851 FY17 ACT-ISERV16 CUSTOM SOW SERVICES TO ADD ADDITIONAL STORAGE FOR ON PREMISE DEVICE AT RIAG</v>
      </c>
      <c r="M700" t="str">
        <f t="shared" si="244"/>
        <v>SVALLANT</v>
      </c>
    </row>
    <row r="701" spans="1:13" ht="30" x14ac:dyDescent="0.25">
      <c r="A701" t="str">
        <f t="shared" si="236"/>
        <v>10</v>
      </c>
      <c r="B701" t="str">
        <f t="shared" si="237"/>
        <v>066</v>
      </c>
      <c r="C701" t="str">
        <f t="shared" si="238"/>
        <v>3010106</v>
      </c>
      <c r="D701" t="str">
        <f t="shared" si="239"/>
        <v>03</v>
      </c>
      <c r="E701" t="str">
        <f t="shared" si="240"/>
        <v>632180</v>
      </c>
      <c r="F701" t="str">
        <f>"04/30/17"</f>
        <v>04/30/17</v>
      </c>
      <c r="G701" t="str">
        <f>"284348"</f>
        <v>284348</v>
      </c>
      <c r="H701" s="4">
        <v>2500</v>
      </c>
      <c r="I701" s="3"/>
      <c r="J701" t="str">
        <f t="shared" si="241"/>
        <v>NAVISITE INC</v>
      </c>
      <c r="K701" t="str">
        <f t="shared" si="242"/>
        <v>3376247</v>
      </c>
      <c r="L701" s="2" t="str">
        <f t="shared" ref="L701:L717" si="245">"APA-13851 - 5/8/14-6/30/17 - NCIS VAULT, END-TO-END, 10TB COMMITMENT - 36 MOS. @ $2,500.00 = $90,000.00"</f>
        <v>APA-13851 - 5/8/14-6/30/17 - NCIS VAULT, END-TO-END, 10TB COMMITMENT - 36 MOS. @ $2,500.00 = $90,000.00</v>
      </c>
      <c r="M701" t="str">
        <f t="shared" si="244"/>
        <v>SVALLANT</v>
      </c>
    </row>
    <row r="702" spans="1:13" ht="30" x14ac:dyDescent="0.25">
      <c r="A702" t="str">
        <f t="shared" si="236"/>
        <v>10</v>
      </c>
      <c r="B702" t="str">
        <f t="shared" si="237"/>
        <v>066</v>
      </c>
      <c r="C702" t="str">
        <f t="shared" si="238"/>
        <v>3010106</v>
      </c>
      <c r="D702" t="str">
        <f t="shared" si="239"/>
        <v>03</v>
      </c>
      <c r="E702" t="str">
        <f t="shared" si="240"/>
        <v>632180</v>
      </c>
      <c r="F702" t="str">
        <f>"05/31/16"</f>
        <v>05/31/16</v>
      </c>
      <c r="G702" t="str">
        <f>"271664"</f>
        <v>271664</v>
      </c>
      <c r="H702" s="4">
        <v>2500</v>
      </c>
      <c r="I702" s="3"/>
      <c r="J702" t="str">
        <f t="shared" si="241"/>
        <v>NAVISITE INC</v>
      </c>
      <c r="K702" t="str">
        <f t="shared" si="242"/>
        <v>3376247</v>
      </c>
      <c r="L702" s="2" t="str">
        <f t="shared" si="245"/>
        <v>APA-13851 - 5/8/14-6/30/17 - NCIS VAULT, END-TO-END, 10TB COMMITMENT - 36 MOS. @ $2,500.00 = $90,000.00</v>
      </c>
      <c r="M702" t="str">
        <f t="shared" si="244"/>
        <v>SVALLANT</v>
      </c>
    </row>
    <row r="703" spans="1:13" ht="30" x14ac:dyDescent="0.25">
      <c r="A703" t="str">
        <f t="shared" si="236"/>
        <v>10</v>
      </c>
      <c r="B703" t="str">
        <f t="shared" si="237"/>
        <v>066</v>
      </c>
      <c r="C703" t="str">
        <f t="shared" si="238"/>
        <v>3010106</v>
      </c>
      <c r="D703" t="str">
        <f t="shared" si="239"/>
        <v>03</v>
      </c>
      <c r="E703" t="str">
        <f t="shared" si="240"/>
        <v>632180</v>
      </c>
      <c r="F703" t="str">
        <f>"05/31/17"</f>
        <v>05/31/17</v>
      </c>
      <c r="G703" t="str">
        <f>"285570"</f>
        <v>285570</v>
      </c>
      <c r="H703" s="4">
        <v>2500</v>
      </c>
      <c r="I703" s="3"/>
      <c r="J703" t="str">
        <f t="shared" si="241"/>
        <v>NAVISITE INC</v>
      </c>
      <c r="K703" t="str">
        <f t="shared" si="242"/>
        <v>3376247</v>
      </c>
      <c r="L703" s="2" t="str">
        <f t="shared" si="245"/>
        <v>APA-13851 - 5/8/14-6/30/17 - NCIS VAULT, END-TO-END, 10TB COMMITMENT - 36 MOS. @ $2,500.00 = $90,000.00</v>
      </c>
      <c r="M703" t="str">
        <f t="shared" si="244"/>
        <v>SVALLANT</v>
      </c>
    </row>
    <row r="704" spans="1:13" ht="30" x14ac:dyDescent="0.25">
      <c r="A704" t="str">
        <f t="shared" si="236"/>
        <v>10</v>
      </c>
      <c r="B704" t="str">
        <f t="shared" si="237"/>
        <v>066</v>
      </c>
      <c r="C704" t="str">
        <f t="shared" si="238"/>
        <v>3010106</v>
      </c>
      <c r="D704" t="str">
        <f t="shared" si="239"/>
        <v>03</v>
      </c>
      <c r="E704" t="str">
        <f t="shared" si="240"/>
        <v>632180</v>
      </c>
      <c r="F704" t="str">
        <f>"06/30/15"</f>
        <v>06/30/15</v>
      </c>
      <c r="G704" t="str">
        <f>"258746"</f>
        <v>258746</v>
      </c>
      <c r="H704" s="4">
        <v>2500</v>
      </c>
      <c r="I704" s="3"/>
      <c r="J704" t="str">
        <f t="shared" si="241"/>
        <v>NAVISITE INC</v>
      </c>
      <c r="K704" t="str">
        <f t="shared" si="242"/>
        <v>3376247</v>
      </c>
      <c r="L704" s="2" t="str">
        <f t="shared" si="245"/>
        <v>APA-13851 - 5/8/14-6/30/17 - NCIS VAULT, END-TO-END, 10TB COMMITMENT - 36 MOS. @ $2,500.00 = $90,000.00</v>
      </c>
      <c r="M704" t="str">
        <f t="shared" si="244"/>
        <v>SVALLANT</v>
      </c>
    </row>
    <row r="705" spans="1:13" ht="30" x14ac:dyDescent="0.25">
      <c r="A705" t="str">
        <f t="shared" si="236"/>
        <v>10</v>
      </c>
      <c r="B705" t="str">
        <f t="shared" si="237"/>
        <v>066</v>
      </c>
      <c r="C705" t="str">
        <f t="shared" si="238"/>
        <v>3010106</v>
      </c>
      <c r="D705" t="str">
        <f t="shared" si="239"/>
        <v>03</v>
      </c>
      <c r="E705" t="str">
        <f t="shared" si="240"/>
        <v>632180</v>
      </c>
      <c r="F705" t="str">
        <f>"06/30/16"</f>
        <v>06/30/16</v>
      </c>
      <c r="G705" t="str">
        <f>"272891"</f>
        <v>272891</v>
      </c>
      <c r="H705" s="4">
        <v>2500</v>
      </c>
      <c r="I705" s="3"/>
      <c r="J705" t="str">
        <f t="shared" si="241"/>
        <v>NAVISITE INC</v>
      </c>
      <c r="K705" t="str">
        <f t="shared" si="242"/>
        <v>3376247</v>
      </c>
      <c r="L705" s="2" t="str">
        <f t="shared" si="245"/>
        <v>APA-13851 - 5/8/14-6/30/17 - NCIS VAULT, END-TO-END, 10TB COMMITMENT - 36 MOS. @ $2,500.00 = $90,000.00</v>
      </c>
      <c r="M705" t="str">
        <f t="shared" si="244"/>
        <v>SVALLANT</v>
      </c>
    </row>
    <row r="706" spans="1:13" ht="30" x14ac:dyDescent="0.25">
      <c r="A706" t="str">
        <f t="shared" si="236"/>
        <v>10</v>
      </c>
      <c r="B706" t="str">
        <f t="shared" si="237"/>
        <v>066</v>
      </c>
      <c r="C706" t="str">
        <f t="shared" si="238"/>
        <v>3010106</v>
      </c>
      <c r="D706" t="str">
        <f t="shared" si="239"/>
        <v>03</v>
      </c>
      <c r="E706" t="str">
        <f t="shared" si="240"/>
        <v>632180</v>
      </c>
      <c r="F706" t="str">
        <f>"06/30/17"</f>
        <v>06/30/17</v>
      </c>
      <c r="G706" t="str">
        <f>"286953"</f>
        <v>286953</v>
      </c>
      <c r="H706" s="4">
        <v>2500</v>
      </c>
      <c r="I706" s="3"/>
      <c r="J706" t="str">
        <f t="shared" si="241"/>
        <v>NAVISITE INC</v>
      </c>
      <c r="K706" t="str">
        <f t="shared" si="242"/>
        <v>3376247</v>
      </c>
      <c r="L706" s="2" t="str">
        <f t="shared" si="245"/>
        <v>APA-13851 - 5/8/14-6/30/17 - NCIS VAULT, END-TO-END, 10TB COMMITMENT - 36 MOS. @ $2,500.00 = $90,000.00</v>
      </c>
      <c r="M706" t="str">
        <f t="shared" si="244"/>
        <v>SVALLANT</v>
      </c>
    </row>
    <row r="707" spans="1:13" ht="30" x14ac:dyDescent="0.25">
      <c r="A707" t="str">
        <f t="shared" si="236"/>
        <v>10</v>
      </c>
      <c r="B707" t="str">
        <f t="shared" si="237"/>
        <v>066</v>
      </c>
      <c r="C707" t="str">
        <f t="shared" si="238"/>
        <v>3010106</v>
      </c>
      <c r="D707" t="str">
        <f t="shared" si="239"/>
        <v>03</v>
      </c>
      <c r="E707" t="str">
        <f t="shared" si="240"/>
        <v>632180</v>
      </c>
      <c r="F707" t="str">
        <f>"06/30/17"</f>
        <v>06/30/17</v>
      </c>
      <c r="G707" t="str">
        <f>"288308"</f>
        <v>288308</v>
      </c>
      <c r="H707" s="4">
        <v>2500</v>
      </c>
      <c r="I707" s="3"/>
      <c r="J707" t="str">
        <f t="shared" si="241"/>
        <v>NAVISITE INC</v>
      </c>
      <c r="K707" t="str">
        <f t="shared" si="242"/>
        <v>3376247</v>
      </c>
      <c r="L707" s="2" t="str">
        <f t="shared" si="245"/>
        <v>APA-13851 - 5/8/14-6/30/17 - NCIS VAULT, END-TO-END, 10TB COMMITMENT - 36 MOS. @ $2,500.00 = $90,000.00</v>
      </c>
      <c r="M707" t="str">
        <f t="shared" si="244"/>
        <v>SVALLANT</v>
      </c>
    </row>
    <row r="708" spans="1:13" ht="30" x14ac:dyDescent="0.25">
      <c r="A708" t="str">
        <f t="shared" si="236"/>
        <v>10</v>
      </c>
      <c r="B708" t="str">
        <f t="shared" si="237"/>
        <v>066</v>
      </c>
      <c r="C708" t="str">
        <f t="shared" si="238"/>
        <v>3010106</v>
      </c>
      <c r="D708" t="str">
        <f t="shared" si="239"/>
        <v>03</v>
      </c>
      <c r="E708" t="str">
        <f t="shared" si="240"/>
        <v>632180</v>
      </c>
      <c r="F708" t="str">
        <f>"07/31/15"</f>
        <v>07/31/15</v>
      </c>
      <c r="G708" t="str">
        <f>"259393"</f>
        <v>259393</v>
      </c>
      <c r="H708" s="4">
        <v>2500</v>
      </c>
      <c r="I708" s="3"/>
      <c r="J708" t="str">
        <f t="shared" si="241"/>
        <v>NAVISITE INC</v>
      </c>
      <c r="K708" t="str">
        <f t="shared" si="242"/>
        <v>3376247</v>
      </c>
      <c r="L708" s="2" t="str">
        <f t="shared" si="245"/>
        <v>APA-13851 - 5/8/14-6/30/17 - NCIS VAULT, END-TO-END, 10TB COMMITMENT - 36 MOS. @ $2,500.00 = $90,000.00</v>
      </c>
      <c r="M708" t="str">
        <f t="shared" si="244"/>
        <v>SVALLANT</v>
      </c>
    </row>
    <row r="709" spans="1:13" ht="30" x14ac:dyDescent="0.25">
      <c r="A709" t="str">
        <f t="shared" si="236"/>
        <v>10</v>
      </c>
      <c r="B709" t="str">
        <f t="shared" si="237"/>
        <v>066</v>
      </c>
      <c r="C709" t="str">
        <f t="shared" si="238"/>
        <v>3010106</v>
      </c>
      <c r="D709" t="str">
        <f t="shared" si="239"/>
        <v>03</v>
      </c>
      <c r="E709" t="str">
        <f t="shared" si="240"/>
        <v>632180</v>
      </c>
      <c r="F709" t="str">
        <f>"08/31/15"</f>
        <v>08/31/15</v>
      </c>
      <c r="G709" t="str">
        <f>"260811"</f>
        <v>260811</v>
      </c>
      <c r="H709" s="4">
        <v>2500</v>
      </c>
      <c r="I709" s="3"/>
      <c r="J709" t="str">
        <f t="shared" si="241"/>
        <v>NAVISITE INC</v>
      </c>
      <c r="K709" t="str">
        <f t="shared" si="242"/>
        <v>3376247</v>
      </c>
      <c r="L709" s="2" t="str">
        <f t="shared" si="245"/>
        <v>APA-13851 - 5/8/14-6/30/17 - NCIS VAULT, END-TO-END, 10TB COMMITMENT - 36 MOS. @ $2,500.00 = $90,000.00</v>
      </c>
      <c r="M709" t="str">
        <f t="shared" si="244"/>
        <v>SVALLANT</v>
      </c>
    </row>
    <row r="710" spans="1:13" ht="30" x14ac:dyDescent="0.25">
      <c r="A710" t="str">
        <f t="shared" si="236"/>
        <v>10</v>
      </c>
      <c r="B710" t="str">
        <f t="shared" si="237"/>
        <v>066</v>
      </c>
      <c r="C710" t="str">
        <f t="shared" si="238"/>
        <v>3010106</v>
      </c>
      <c r="D710" t="str">
        <f t="shared" si="239"/>
        <v>03</v>
      </c>
      <c r="E710" t="str">
        <f t="shared" si="240"/>
        <v>632180</v>
      </c>
      <c r="F710" t="str">
        <f>"08/31/16"</f>
        <v>08/31/16</v>
      </c>
      <c r="G710" t="str">
        <f>"274138"</f>
        <v>274138</v>
      </c>
      <c r="H710" s="4">
        <v>2500</v>
      </c>
      <c r="I710" s="3"/>
      <c r="J710" t="str">
        <f t="shared" si="241"/>
        <v>NAVISITE INC</v>
      </c>
      <c r="K710" t="str">
        <f t="shared" si="242"/>
        <v>3376247</v>
      </c>
      <c r="L710" s="2" t="str">
        <f t="shared" si="245"/>
        <v>APA-13851 - 5/8/14-6/30/17 - NCIS VAULT, END-TO-END, 10TB COMMITMENT - 36 MOS. @ $2,500.00 = $90,000.00</v>
      </c>
      <c r="M710" t="str">
        <f t="shared" si="244"/>
        <v>SVALLANT</v>
      </c>
    </row>
    <row r="711" spans="1:13" ht="30" x14ac:dyDescent="0.25">
      <c r="A711" t="str">
        <f t="shared" si="236"/>
        <v>10</v>
      </c>
      <c r="B711" t="str">
        <f t="shared" si="237"/>
        <v>066</v>
      </c>
      <c r="C711" t="str">
        <f t="shared" si="238"/>
        <v>3010106</v>
      </c>
      <c r="D711" t="str">
        <f t="shared" si="239"/>
        <v>03</v>
      </c>
      <c r="E711" t="str">
        <f t="shared" si="240"/>
        <v>632180</v>
      </c>
      <c r="F711" t="str">
        <f>"08/31/16"</f>
        <v>08/31/16</v>
      </c>
      <c r="G711" t="str">
        <f>"275002"</f>
        <v>275002</v>
      </c>
      <c r="H711" s="4">
        <v>2500</v>
      </c>
      <c r="I711" s="3"/>
      <c r="J711" t="str">
        <f t="shared" si="241"/>
        <v>NAVISITE INC</v>
      </c>
      <c r="K711" t="str">
        <f t="shared" si="242"/>
        <v>3376247</v>
      </c>
      <c r="L711" s="2" t="str">
        <f t="shared" si="245"/>
        <v>APA-13851 - 5/8/14-6/30/17 - NCIS VAULT, END-TO-END, 10TB COMMITMENT - 36 MOS. @ $2,500.00 = $90,000.00</v>
      </c>
      <c r="M711" t="str">
        <f t="shared" si="244"/>
        <v>SVALLANT</v>
      </c>
    </row>
    <row r="712" spans="1:13" ht="30" x14ac:dyDescent="0.25">
      <c r="A712" t="str">
        <f t="shared" si="236"/>
        <v>10</v>
      </c>
      <c r="B712" t="str">
        <f t="shared" si="237"/>
        <v>066</v>
      </c>
      <c r="C712" t="str">
        <f t="shared" si="238"/>
        <v>3010106</v>
      </c>
      <c r="D712" t="str">
        <f t="shared" si="239"/>
        <v>03</v>
      </c>
      <c r="E712" t="str">
        <f t="shared" si="240"/>
        <v>632180</v>
      </c>
      <c r="F712" t="str">
        <f>"09/30/15"</f>
        <v>09/30/15</v>
      </c>
      <c r="G712" t="str">
        <f>"261804"</f>
        <v>261804</v>
      </c>
      <c r="H712" s="4">
        <v>2500</v>
      </c>
      <c r="I712" s="3"/>
      <c r="J712" t="str">
        <f t="shared" si="241"/>
        <v>NAVISITE INC</v>
      </c>
      <c r="K712" t="str">
        <f t="shared" si="242"/>
        <v>3376247</v>
      </c>
      <c r="L712" s="2" t="str">
        <f t="shared" si="245"/>
        <v>APA-13851 - 5/8/14-6/30/17 - NCIS VAULT, END-TO-END, 10TB COMMITMENT - 36 MOS. @ $2,500.00 = $90,000.00</v>
      </c>
      <c r="M712" t="str">
        <f t="shared" si="244"/>
        <v>SVALLANT</v>
      </c>
    </row>
    <row r="713" spans="1:13" ht="30" x14ac:dyDescent="0.25">
      <c r="A713" t="str">
        <f t="shared" si="236"/>
        <v>10</v>
      </c>
      <c r="B713" t="str">
        <f t="shared" si="237"/>
        <v>066</v>
      </c>
      <c r="C713" t="str">
        <f t="shared" si="238"/>
        <v>3010106</v>
      </c>
      <c r="D713" t="str">
        <f t="shared" si="239"/>
        <v>03</v>
      </c>
      <c r="E713" t="str">
        <f t="shared" si="240"/>
        <v>632180</v>
      </c>
      <c r="F713" t="str">
        <f>"10/31/14"</f>
        <v>10/31/14</v>
      </c>
      <c r="G713" t="str">
        <f>"247937"</f>
        <v>247937</v>
      </c>
      <c r="H713" s="4">
        <v>6130</v>
      </c>
      <c r="I713" s="3"/>
      <c r="J713" t="str">
        <f t="shared" si="241"/>
        <v>NAVISITE INC</v>
      </c>
      <c r="K713" t="str">
        <f t="shared" si="242"/>
        <v>3376247</v>
      </c>
      <c r="L713" s="2" t="str">
        <f t="shared" si="245"/>
        <v>APA-13851 - 5/8/14-6/30/17 - NCIS VAULT, END-TO-END, 10TB COMMITMENT - 36 MOS. @ $2,500.00 = $90,000.00</v>
      </c>
      <c r="M713" t="str">
        <f t="shared" si="244"/>
        <v>SVALLANT</v>
      </c>
    </row>
    <row r="714" spans="1:13" ht="30" x14ac:dyDescent="0.25">
      <c r="A714" t="str">
        <f t="shared" si="236"/>
        <v>10</v>
      </c>
      <c r="B714" t="str">
        <f t="shared" si="237"/>
        <v>066</v>
      </c>
      <c r="C714" t="str">
        <f t="shared" si="238"/>
        <v>3010106</v>
      </c>
      <c r="D714" t="str">
        <f t="shared" si="239"/>
        <v>03</v>
      </c>
      <c r="E714" t="str">
        <f t="shared" si="240"/>
        <v>632180</v>
      </c>
      <c r="F714" t="str">
        <f>"10/31/14"</f>
        <v>10/31/14</v>
      </c>
      <c r="G714" t="str">
        <f>"249558"</f>
        <v>249558</v>
      </c>
      <c r="H714" s="4">
        <v>2500</v>
      </c>
      <c r="I714" s="3"/>
      <c r="J714" t="str">
        <f t="shared" si="241"/>
        <v>NAVISITE INC</v>
      </c>
      <c r="K714" t="str">
        <f t="shared" si="242"/>
        <v>3376247</v>
      </c>
      <c r="L714" s="2" t="str">
        <f t="shared" si="245"/>
        <v>APA-13851 - 5/8/14-6/30/17 - NCIS VAULT, END-TO-END, 10TB COMMITMENT - 36 MOS. @ $2,500.00 = $90,000.00</v>
      </c>
      <c r="M714" t="str">
        <f t="shared" si="244"/>
        <v>SVALLANT</v>
      </c>
    </row>
    <row r="715" spans="1:13" ht="30" x14ac:dyDescent="0.25">
      <c r="A715" t="str">
        <f t="shared" si="236"/>
        <v>10</v>
      </c>
      <c r="B715" t="str">
        <f t="shared" si="237"/>
        <v>066</v>
      </c>
      <c r="C715" t="str">
        <f t="shared" si="238"/>
        <v>3010106</v>
      </c>
      <c r="D715" t="str">
        <f t="shared" si="239"/>
        <v>03</v>
      </c>
      <c r="E715" t="str">
        <f t="shared" si="240"/>
        <v>632180</v>
      </c>
      <c r="F715" t="str">
        <f>"10/31/16"</f>
        <v>10/31/16</v>
      </c>
      <c r="G715" t="str">
        <f>"277841"</f>
        <v>277841</v>
      </c>
      <c r="H715" s="4">
        <v>2500</v>
      </c>
      <c r="I715" s="3"/>
      <c r="J715" t="str">
        <f t="shared" si="241"/>
        <v>NAVISITE INC</v>
      </c>
      <c r="K715" t="str">
        <f t="shared" si="242"/>
        <v>3376247</v>
      </c>
      <c r="L715" s="2" t="str">
        <f t="shared" si="245"/>
        <v>APA-13851 - 5/8/14-6/30/17 - NCIS VAULT, END-TO-END, 10TB COMMITMENT - 36 MOS. @ $2,500.00 = $90,000.00</v>
      </c>
      <c r="M715" t="str">
        <f t="shared" si="244"/>
        <v>SVALLANT</v>
      </c>
    </row>
    <row r="716" spans="1:13" ht="30" x14ac:dyDescent="0.25">
      <c r="A716" t="str">
        <f t="shared" si="236"/>
        <v>10</v>
      </c>
      <c r="B716" t="str">
        <f t="shared" si="237"/>
        <v>066</v>
      </c>
      <c r="C716" t="str">
        <f t="shared" si="238"/>
        <v>3010106</v>
      </c>
      <c r="D716" t="str">
        <f t="shared" si="239"/>
        <v>03</v>
      </c>
      <c r="E716" t="str">
        <f t="shared" si="240"/>
        <v>632180</v>
      </c>
      <c r="F716" t="str">
        <f>"12/31/15"</f>
        <v>12/31/15</v>
      </c>
      <c r="G716" t="str">
        <f>"263007"</f>
        <v>263007</v>
      </c>
      <c r="H716" s="4">
        <v>2500</v>
      </c>
      <c r="I716" s="3"/>
      <c r="J716" t="str">
        <f t="shared" si="241"/>
        <v>NAVISITE INC</v>
      </c>
      <c r="K716" t="str">
        <f t="shared" si="242"/>
        <v>3376247</v>
      </c>
      <c r="L716" s="2" t="str">
        <f t="shared" si="245"/>
        <v>APA-13851 - 5/8/14-6/30/17 - NCIS VAULT, END-TO-END, 10TB COMMITMENT - 36 MOS. @ $2,500.00 = $90,000.00</v>
      </c>
      <c r="M716" t="str">
        <f t="shared" si="244"/>
        <v>SVALLANT</v>
      </c>
    </row>
    <row r="717" spans="1:13" ht="30" x14ac:dyDescent="0.25">
      <c r="A717" t="str">
        <f t="shared" si="236"/>
        <v>10</v>
      </c>
      <c r="B717" t="str">
        <f t="shared" si="237"/>
        <v>066</v>
      </c>
      <c r="C717" t="str">
        <f t="shared" si="238"/>
        <v>3010106</v>
      </c>
      <c r="D717" t="str">
        <f t="shared" si="239"/>
        <v>03</v>
      </c>
      <c r="E717" t="str">
        <f t="shared" si="240"/>
        <v>632180</v>
      </c>
      <c r="F717" t="str">
        <f>"12/31/15"</f>
        <v>12/31/15</v>
      </c>
      <c r="G717" t="str">
        <f>"265268"</f>
        <v>265268</v>
      </c>
      <c r="H717" s="4">
        <v>2500</v>
      </c>
      <c r="I717" s="3"/>
      <c r="J717" t="str">
        <f t="shared" si="241"/>
        <v>NAVISITE INC</v>
      </c>
      <c r="K717" t="str">
        <f t="shared" si="242"/>
        <v>3376247</v>
      </c>
      <c r="L717" s="2" t="str">
        <f t="shared" si="245"/>
        <v>APA-13851 - 5/8/14-6/30/17 - NCIS VAULT, END-TO-END, 10TB COMMITMENT - 36 MOS. @ $2,500.00 = $90,000.00</v>
      </c>
      <c r="M717" t="str">
        <f t="shared" si="244"/>
        <v>SVALLANT</v>
      </c>
    </row>
    <row r="718" spans="1:13" ht="30" x14ac:dyDescent="0.25">
      <c r="A718" t="str">
        <f t="shared" si="236"/>
        <v>10</v>
      </c>
      <c r="B718" t="str">
        <f t="shared" si="237"/>
        <v>066</v>
      </c>
      <c r="C718" t="str">
        <f t="shared" si="238"/>
        <v>3010106</v>
      </c>
      <c r="D718" t="str">
        <f t="shared" si="239"/>
        <v>03</v>
      </c>
      <c r="E718" t="str">
        <f>"641200"</f>
        <v>641200</v>
      </c>
      <c r="F718" t="str">
        <f>"04/30/17"</f>
        <v>04/30/17</v>
      </c>
      <c r="G718" t="str">
        <f>"283751"</f>
        <v>283751</v>
      </c>
      <c r="H718" s="4">
        <v>564.29999999999995</v>
      </c>
      <c r="I718" s="3"/>
      <c r="J718" t="str">
        <f t="shared" si="241"/>
        <v>NAVISITE INC</v>
      </c>
      <c r="K718" t="str">
        <f t="shared" si="242"/>
        <v>3376247</v>
      </c>
      <c r="L718" s="2" t="str">
        <f>"APA-13851 FY17 ACT-MAINT MONTHLY MAINTENANCE ON THE ADDITIONAL 5TB FOR ON PREMISE DEVICE AT RIAG12/1/16-6/30/17"</f>
        <v>APA-13851 FY17 ACT-MAINT MONTHLY MAINTENANCE ON THE ADDITIONAL 5TB FOR ON PREMISE DEVICE AT RIAG12/1/16-6/30/17</v>
      </c>
      <c r="M718" t="str">
        <f t="shared" si="244"/>
        <v>SVALLANT</v>
      </c>
    </row>
    <row r="719" spans="1:13" ht="30" x14ac:dyDescent="0.25">
      <c r="A719" t="str">
        <f t="shared" si="236"/>
        <v>10</v>
      </c>
      <c r="B719" t="str">
        <f t="shared" si="237"/>
        <v>066</v>
      </c>
      <c r="C719" t="str">
        <f t="shared" si="238"/>
        <v>3010106</v>
      </c>
      <c r="D719" t="str">
        <f t="shared" si="239"/>
        <v>03</v>
      </c>
      <c r="E719" t="str">
        <f>"641200"</f>
        <v>641200</v>
      </c>
      <c r="F719" t="str">
        <f>"04/30/17"</f>
        <v>04/30/17</v>
      </c>
      <c r="G719" t="str">
        <f>"284625"</f>
        <v>284625</v>
      </c>
      <c r="H719" s="4">
        <v>269.10000000000002</v>
      </c>
      <c r="I719" s="3"/>
      <c r="J719" t="str">
        <f t="shared" si="241"/>
        <v>NAVISITE INC</v>
      </c>
      <c r="K719" t="str">
        <f t="shared" si="242"/>
        <v>3376247</v>
      </c>
      <c r="L719" s="2" t="str">
        <f>"APA-13851 FY17 ACT-MAINT MONTHLY MAINTENANCE ON THE ADDITIONAL 5TB FOR ON PREMISE DEVICE AT RIAG12/1/16-6/30/17"</f>
        <v>APA-13851 FY17 ACT-MAINT MONTHLY MAINTENANCE ON THE ADDITIONAL 5TB FOR ON PREMISE DEVICE AT RIAG12/1/16-6/30/17</v>
      </c>
      <c r="M719" t="str">
        <f t="shared" si="244"/>
        <v>SVALLANT</v>
      </c>
    </row>
    <row r="720" spans="1:13" ht="30" x14ac:dyDescent="0.25">
      <c r="A720" t="str">
        <f t="shared" si="236"/>
        <v>10</v>
      </c>
      <c r="B720" t="str">
        <f t="shared" si="237"/>
        <v>066</v>
      </c>
      <c r="C720" t="str">
        <f t="shared" si="238"/>
        <v>3010106</v>
      </c>
      <c r="D720" t="str">
        <f t="shared" si="239"/>
        <v>03</v>
      </c>
      <c r="E720" t="str">
        <f>"641200"</f>
        <v>641200</v>
      </c>
      <c r="F720" t="str">
        <f>"05/31/17"</f>
        <v>05/31/17</v>
      </c>
      <c r="G720" t="str">
        <f>"285833"</f>
        <v>285833</v>
      </c>
      <c r="H720" s="4">
        <v>269.10000000000002</v>
      </c>
      <c r="I720" s="3"/>
      <c r="J720" t="str">
        <f t="shared" si="241"/>
        <v>NAVISITE INC</v>
      </c>
      <c r="K720" t="str">
        <f t="shared" si="242"/>
        <v>3376247</v>
      </c>
      <c r="L720" s="2" t="str">
        <f>"APA-13851 FY17 ACT-MAINT MONTHLY MAINTENANCE ON THE ADDITIONAL 5TB FOR ON PREMISE DEVICE AT RIAG12/1/16-6/30/17"</f>
        <v>APA-13851 FY17 ACT-MAINT MONTHLY MAINTENANCE ON THE ADDITIONAL 5TB FOR ON PREMISE DEVICE AT RIAG12/1/16-6/30/17</v>
      </c>
      <c r="M720" t="str">
        <f t="shared" si="244"/>
        <v>SVALLANT</v>
      </c>
    </row>
    <row r="721" spans="1:13" ht="30" x14ac:dyDescent="0.25">
      <c r="A721" t="str">
        <f t="shared" si="236"/>
        <v>10</v>
      </c>
      <c r="B721" t="str">
        <f t="shared" si="237"/>
        <v>066</v>
      </c>
      <c r="C721" t="str">
        <f t="shared" si="238"/>
        <v>3010106</v>
      </c>
      <c r="D721" t="str">
        <f t="shared" si="239"/>
        <v>03</v>
      </c>
      <c r="E721" t="str">
        <f>"641200"</f>
        <v>641200</v>
      </c>
      <c r="F721" t="str">
        <f>"06/30/17"</f>
        <v>06/30/17</v>
      </c>
      <c r="G721" t="str">
        <f>"287220"</f>
        <v>287220</v>
      </c>
      <c r="H721" s="4">
        <v>269.10000000000002</v>
      </c>
      <c r="I721" s="3"/>
      <c r="J721" t="str">
        <f t="shared" si="241"/>
        <v>NAVISITE INC</v>
      </c>
      <c r="K721" t="str">
        <f t="shared" si="242"/>
        <v>3376247</v>
      </c>
      <c r="L721" s="2" t="str">
        <f>"APA-13851 FY17 ACT-MAINT MONTHLY MAINTENANCE ON THE ADDITIONAL 5TB FOR ON PREMISE DEVICE AT RIAG12/1/16-6/30/17"</f>
        <v>APA-13851 FY17 ACT-MAINT MONTHLY MAINTENANCE ON THE ADDITIONAL 5TB FOR ON PREMISE DEVICE AT RIAG12/1/16-6/30/17</v>
      </c>
      <c r="M721" t="str">
        <f t="shared" si="244"/>
        <v>SVALLANT</v>
      </c>
    </row>
    <row r="722" spans="1:13" ht="30" x14ac:dyDescent="0.25">
      <c r="A722" t="str">
        <f t="shared" si="236"/>
        <v>10</v>
      </c>
      <c r="B722" t="str">
        <f t="shared" si="237"/>
        <v>066</v>
      </c>
      <c r="C722" t="str">
        <f t="shared" si="238"/>
        <v>3010106</v>
      </c>
      <c r="D722" t="str">
        <f t="shared" si="239"/>
        <v>03</v>
      </c>
      <c r="E722" t="str">
        <f>"641200"</f>
        <v>641200</v>
      </c>
      <c r="F722" t="str">
        <f>"06/30/17"</f>
        <v>06/30/17</v>
      </c>
      <c r="G722" t="str">
        <f>"288566"</f>
        <v>288566</v>
      </c>
      <c r="H722" s="4">
        <v>269.10000000000002</v>
      </c>
      <c r="I722" s="3"/>
      <c r="J722" t="str">
        <f t="shared" si="241"/>
        <v>NAVISITE INC</v>
      </c>
      <c r="K722" t="str">
        <f t="shared" si="242"/>
        <v>3376247</v>
      </c>
      <c r="L722" s="2" t="str">
        <f>"APA-13851 FY17 ACT-MAINT MONTHLY MAINTENANCE ON THE ADDITIONAL 5TB FOR ON PREMISE DEVICE AT RIAG12/1/16-6/30/17"</f>
        <v>APA-13851 FY17 ACT-MAINT MONTHLY MAINTENANCE ON THE ADDITIONAL 5TB FOR ON PREMISE DEVICE AT RIAG12/1/16-6/30/17</v>
      </c>
      <c r="M722" t="str">
        <f t="shared" si="244"/>
        <v>SVALLANT</v>
      </c>
    </row>
    <row r="723" spans="1:13" x14ac:dyDescent="0.25">
      <c r="A723" t="str">
        <f t="shared" si="236"/>
        <v>10</v>
      </c>
      <c r="B723" t="str">
        <f t="shared" si="237"/>
        <v>066</v>
      </c>
      <c r="C723" t="str">
        <f t="shared" si="238"/>
        <v>3010106</v>
      </c>
      <c r="D723" t="str">
        <f t="shared" si="239"/>
        <v>03</v>
      </c>
      <c r="E723" t="str">
        <f>"645310"</f>
        <v>645310</v>
      </c>
      <c r="F723" t="str">
        <f>"04/30/17"</f>
        <v>04/30/17</v>
      </c>
      <c r="G723" t="str">
        <f>"283751"</f>
        <v>283751</v>
      </c>
      <c r="H723" s="4">
        <v>6270.03</v>
      </c>
      <c r="I723" s="3"/>
      <c r="J723" t="str">
        <f t="shared" si="241"/>
        <v>NAVISITE INC</v>
      </c>
      <c r="K723" t="str">
        <f t="shared" si="242"/>
        <v>3376247</v>
      </c>
      <c r="L723" s="2" t="str">
        <f>"APA-13851 FY17 ACT-5TB-MDL MONTHLY iCLOUD STORAGE 12/1/16-6/30/17"</f>
        <v>APA-13851 FY17 ACT-5TB-MDL MONTHLY iCLOUD STORAGE 12/1/16-6/30/17</v>
      </c>
      <c r="M723" t="str">
        <f t="shared" si="244"/>
        <v>SVALLANT</v>
      </c>
    </row>
    <row r="724" spans="1:13" x14ac:dyDescent="0.25">
      <c r="A724" t="str">
        <f t="shared" si="236"/>
        <v>10</v>
      </c>
      <c r="B724" t="str">
        <f t="shared" si="237"/>
        <v>066</v>
      </c>
      <c r="C724" t="str">
        <f t="shared" si="238"/>
        <v>3010106</v>
      </c>
      <c r="D724" t="str">
        <f t="shared" si="239"/>
        <v>03</v>
      </c>
      <c r="E724" t="str">
        <f>"645310"</f>
        <v>645310</v>
      </c>
      <c r="F724" t="str">
        <f>"04/30/17"</f>
        <v>04/30/17</v>
      </c>
      <c r="G724" t="str">
        <f>"284625"</f>
        <v>284625</v>
      </c>
      <c r="H724" s="4">
        <v>2990</v>
      </c>
      <c r="I724" s="3"/>
      <c r="J724" t="str">
        <f t="shared" si="241"/>
        <v>NAVISITE INC</v>
      </c>
      <c r="K724" t="str">
        <f t="shared" si="242"/>
        <v>3376247</v>
      </c>
      <c r="L724" s="2" t="str">
        <f>"APA-13851 FY17 ACT-5TB-MDL MONTHLY iCLOUD STORAGE 12/1/16-6/30/17"</f>
        <v>APA-13851 FY17 ACT-5TB-MDL MONTHLY iCLOUD STORAGE 12/1/16-6/30/17</v>
      </c>
      <c r="M724" t="str">
        <f t="shared" si="244"/>
        <v>SVALLANT</v>
      </c>
    </row>
    <row r="725" spans="1:13" x14ac:dyDescent="0.25">
      <c r="A725" t="str">
        <f t="shared" si="236"/>
        <v>10</v>
      </c>
      <c r="B725" t="str">
        <f t="shared" si="237"/>
        <v>066</v>
      </c>
      <c r="C725" t="str">
        <f t="shared" si="238"/>
        <v>3010106</v>
      </c>
      <c r="D725" t="str">
        <f t="shared" si="239"/>
        <v>03</v>
      </c>
      <c r="E725" t="str">
        <f>"645310"</f>
        <v>645310</v>
      </c>
      <c r="F725" t="str">
        <f>"05/31/17"</f>
        <v>05/31/17</v>
      </c>
      <c r="G725" t="str">
        <f>"285833"</f>
        <v>285833</v>
      </c>
      <c r="H725" s="4">
        <v>2990</v>
      </c>
      <c r="I725" s="3"/>
      <c r="J725" t="str">
        <f t="shared" si="241"/>
        <v>NAVISITE INC</v>
      </c>
      <c r="K725" t="str">
        <f t="shared" si="242"/>
        <v>3376247</v>
      </c>
      <c r="L725" s="2" t="str">
        <f>"APA-13851 FY17 ACT-5TB-MDL MONTHLY iCLOUD STORAGE 12/1/16-6/30/17"</f>
        <v>APA-13851 FY17 ACT-5TB-MDL MONTHLY iCLOUD STORAGE 12/1/16-6/30/17</v>
      </c>
      <c r="M725" t="str">
        <f t="shared" si="244"/>
        <v>SVALLANT</v>
      </c>
    </row>
    <row r="726" spans="1:13" x14ac:dyDescent="0.25">
      <c r="A726" t="str">
        <f t="shared" si="236"/>
        <v>10</v>
      </c>
      <c r="B726" t="str">
        <f t="shared" si="237"/>
        <v>066</v>
      </c>
      <c r="C726" t="str">
        <f t="shared" si="238"/>
        <v>3010106</v>
      </c>
      <c r="D726" t="str">
        <f t="shared" si="239"/>
        <v>03</v>
      </c>
      <c r="E726" t="str">
        <f>"645310"</f>
        <v>645310</v>
      </c>
      <c r="F726" t="str">
        <f>"06/30/17"</f>
        <v>06/30/17</v>
      </c>
      <c r="G726" t="str">
        <f>"287220"</f>
        <v>287220</v>
      </c>
      <c r="H726" s="4">
        <v>2990</v>
      </c>
      <c r="I726" s="3"/>
      <c r="J726" t="str">
        <f t="shared" si="241"/>
        <v>NAVISITE INC</v>
      </c>
      <c r="K726" t="str">
        <f t="shared" si="242"/>
        <v>3376247</v>
      </c>
      <c r="L726" s="2" t="str">
        <f>"APA-13851 FY17 ACT-5TB-MDL MONTHLY iCLOUD STORAGE 12/1/16-6/30/17"</f>
        <v>APA-13851 FY17 ACT-5TB-MDL MONTHLY iCLOUD STORAGE 12/1/16-6/30/17</v>
      </c>
      <c r="M726" t="str">
        <f t="shared" si="244"/>
        <v>SVALLANT</v>
      </c>
    </row>
    <row r="727" spans="1:13" x14ac:dyDescent="0.25">
      <c r="A727" t="str">
        <f t="shared" si="236"/>
        <v>10</v>
      </c>
      <c r="B727" t="str">
        <f t="shared" si="237"/>
        <v>066</v>
      </c>
      <c r="C727" t="str">
        <f t="shared" si="238"/>
        <v>3010106</v>
      </c>
      <c r="D727" t="str">
        <f t="shared" si="239"/>
        <v>03</v>
      </c>
      <c r="E727" t="str">
        <f>"645310"</f>
        <v>645310</v>
      </c>
      <c r="F727" t="str">
        <f>"06/30/17"</f>
        <v>06/30/17</v>
      </c>
      <c r="G727" t="str">
        <f>"288566"</f>
        <v>288566</v>
      </c>
      <c r="H727" s="4">
        <v>2990</v>
      </c>
      <c r="I727" s="3"/>
      <c r="J727" t="str">
        <f t="shared" si="241"/>
        <v>NAVISITE INC</v>
      </c>
      <c r="K727" t="str">
        <f t="shared" si="242"/>
        <v>3376247</v>
      </c>
      <c r="L727" s="2" t="str">
        <f>"APA-13851 FY17 ACT-5TB-MDL MONTHLY iCLOUD STORAGE 12/1/16-6/30/17"</f>
        <v>APA-13851 FY17 ACT-5TB-MDL MONTHLY iCLOUD STORAGE 12/1/16-6/30/17</v>
      </c>
      <c r="M727" t="str">
        <f t="shared" si="244"/>
        <v>SVALLANT</v>
      </c>
    </row>
    <row r="728" spans="1:13" ht="30" x14ac:dyDescent="0.25">
      <c r="A728" t="str">
        <f t="shared" si="236"/>
        <v>10</v>
      </c>
      <c r="B728" t="str">
        <f t="shared" si="237"/>
        <v>066</v>
      </c>
      <c r="C728" t="str">
        <f t="shared" si="238"/>
        <v>3010106</v>
      </c>
      <c r="D728" t="str">
        <f t="shared" si="239"/>
        <v>03</v>
      </c>
      <c r="E728" t="str">
        <f>"661711"</f>
        <v>661711</v>
      </c>
      <c r="F728" t="str">
        <f>"03/31/16"</f>
        <v>03/31/16</v>
      </c>
      <c r="G728" t="str">
        <f>"270990"</f>
        <v>270990</v>
      </c>
      <c r="H728" s="4">
        <v>32669</v>
      </c>
      <c r="I728" s="3"/>
      <c r="J728" t="str">
        <f t="shared" si="241"/>
        <v>NAVISITE INC</v>
      </c>
      <c r="K728" t="str">
        <f>"3452086"</f>
        <v>3452086</v>
      </c>
      <c r="L728" s="2" t="str">
        <f>"PURCHASE, INSTALLATION AND 21 MONTHS' MAINTENANCE OF AFTIFIO INTERAGED STORAGE"</f>
        <v>PURCHASE, INSTALLATION AND 21 MONTHS' MAINTENANCE OF AFTIFIO INTERAGED STORAGE</v>
      </c>
      <c r="M728" t="str">
        <f t="shared" si="244"/>
        <v>SVALLANT</v>
      </c>
    </row>
    <row r="729" spans="1:13" ht="30" x14ac:dyDescent="0.25">
      <c r="A729" t="str">
        <f t="shared" si="236"/>
        <v>10</v>
      </c>
      <c r="B729" t="str">
        <f t="shared" si="237"/>
        <v>066</v>
      </c>
      <c r="C729" t="str">
        <f t="shared" si="238"/>
        <v>3010106</v>
      </c>
      <c r="D729" t="str">
        <f t="shared" si="239"/>
        <v>03</v>
      </c>
      <c r="E729" t="str">
        <f>"661711"</f>
        <v>661711</v>
      </c>
      <c r="F729" t="str">
        <f>"03/31/16"</f>
        <v>03/31/16</v>
      </c>
      <c r="G729" t="str">
        <f>"270991"</f>
        <v>270991</v>
      </c>
      <c r="H729" s="4">
        <v>32669</v>
      </c>
      <c r="I729" s="3"/>
      <c r="J729" t="str">
        <f t="shared" si="241"/>
        <v>NAVISITE INC</v>
      </c>
      <c r="K729" t="str">
        <f>"3452086"</f>
        <v>3452086</v>
      </c>
      <c r="L729" s="2" t="str">
        <f>"PURCHASE, INSTALLATION AND 21 MONTHS' MAINTENANCE OF AFTIFIO INTERAGED STORAGE"</f>
        <v>PURCHASE, INSTALLATION AND 21 MONTHS' MAINTENANCE OF AFTIFIO INTERAGED STORAGE</v>
      </c>
      <c r="M729" t="str">
        <f>"MFUSCO"</f>
        <v>MFUSCO</v>
      </c>
    </row>
    <row r="730" spans="1:13" ht="45" x14ac:dyDescent="0.25">
      <c r="A730" t="str">
        <f t="shared" si="236"/>
        <v>10</v>
      </c>
      <c r="B730" t="str">
        <f t="shared" si="237"/>
        <v>066</v>
      </c>
      <c r="C730" t="str">
        <f t="shared" si="238"/>
        <v>3010106</v>
      </c>
      <c r="D730" t="str">
        <f t="shared" si="239"/>
        <v>03</v>
      </c>
      <c r="E730" t="str">
        <f>"661711"</f>
        <v>661711</v>
      </c>
      <c r="F730" t="str">
        <f>"10/31/14"</f>
        <v>10/31/14</v>
      </c>
      <c r="G730" t="str">
        <f>"247937"</f>
        <v>247937</v>
      </c>
      <c r="H730" s="4">
        <v>332660</v>
      </c>
      <c r="I730" s="3"/>
      <c r="J730" t="str">
        <f t="shared" si="241"/>
        <v>NAVISITE INC</v>
      </c>
      <c r="K730" t="str">
        <f>"3376247"</f>
        <v>3376247</v>
      </c>
      <c r="L730" s="2" t="str">
        <f>"APA-13851 - 5/8/14-6/30/17 - NCIS VAULT, END-TO-END, SERVICE ACTIVATION; END-TO-END ACTIFIO 10TB SOLUTION INCLUDING 3-YEAR MAINTENANCE.  CLIENT SIDE FIBER CABLING INCLUDED AS WELL AS SWITCH."</f>
        <v>APA-13851 - 5/8/14-6/30/17 - NCIS VAULT, END-TO-END, SERVICE ACTIVATION; END-TO-END ACTIFIO 10TB SOLUTION INCLUDING 3-YEAR MAINTENANCE.  CLIENT SIDE FIBER CABLING INCLUDED AS WELL AS SWITCH.</v>
      </c>
      <c r="M730" t="str">
        <f>"MFUSCO"</f>
        <v>MFUSCO</v>
      </c>
    </row>
    <row r="731" spans="1:13" x14ac:dyDescent="0.25">
      <c r="H731" s="6">
        <f>SUM(H683:H730)</f>
        <v>517748.73000000004</v>
      </c>
      <c r="I731" s="6">
        <f>SUM(H683:H730)</f>
        <v>517748.73000000004</v>
      </c>
      <c r="L731" s="2"/>
      <c r="M731" t="str">
        <f>"SVALLANT"</f>
        <v>SVALLANT</v>
      </c>
    </row>
    <row r="732" spans="1:13" x14ac:dyDescent="0.25">
      <c r="H732" s="3"/>
      <c r="I732" s="3"/>
      <c r="L732" s="2"/>
    </row>
    <row r="733" spans="1:13" ht="30" x14ac:dyDescent="0.25">
      <c r="A733" t="str">
        <f t="shared" ref="A733:A796" si="246">"10"</f>
        <v>10</v>
      </c>
      <c r="B733" t="str">
        <f t="shared" ref="B733:B796" si="247">"066"</f>
        <v>066</v>
      </c>
      <c r="C733" t="str">
        <f t="shared" ref="C733:C796" si="248">"3010106"</f>
        <v>3010106</v>
      </c>
      <c r="D733" t="str">
        <f t="shared" ref="D733:D796" si="249">"03"</f>
        <v>03</v>
      </c>
      <c r="E733" t="str">
        <f t="shared" ref="E733:E763" si="250">"644300"</f>
        <v>644300</v>
      </c>
      <c r="F733" t="str">
        <f>"01/31/15"</f>
        <v>01/31/15</v>
      </c>
      <c r="G733" t="str">
        <f>"1566SXA0184"</f>
        <v>1566SXA0184</v>
      </c>
      <c r="H733" s="3">
        <v>2936.25</v>
      </c>
      <c r="I733" s="3"/>
      <c r="J733" t="str">
        <f t="shared" ref="J733:J791" si="251">"NEW ENGLAND GAS CO"</f>
        <v>NEW ENGLAND GAS CO</v>
      </c>
      <c r="K733" t="str">
        <f>""</f>
        <v/>
      </c>
      <c r="L733" s="2" t="str">
        <f>"ACCT: 26219-02021; METER: 00774535 - DEC 2014 MONTHLY GAS CONSUMPTION PAYMENT FOR 180 SOUTH MAIN STREET BUILDING"</f>
        <v>ACCT: 26219-02021; METER: 00774535 - DEC 2014 MONTHLY GAS CONSUMPTION PAYMENT FOR 180 SOUTH MAIN STREET BUILDING</v>
      </c>
    </row>
    <row r="734" spans="1:13" ht="30" x14ac:dyDescent="0.25">
      <c r="A734" t="str">
        <f t="shared" si="246"/>
        <v>10</v>
      </c>
      <c r="B734" t="str">
        <f t="shared" si="247"/>
        <v>066</v>
      </c>
      <c r="C734" t="str">
        <f t="shared" si="248"/>
        <v>3010106</v>
      </c>
      <c r="D734" t="str">
        <f t="shared" si="249"/>
        <v>03</v>
      </c>
      <c r="E734" t="str">
        <f t="shared" si="250"/>
        <v>644300</v>
      </c>
      <c r="F734" t="str">
        <f>"01/31/16"</f>
        <v>01/31/16</v>
      </c>
      <c r="G734" t="str">
        <f>"1666SXA0182"</f>
        <v>1666SXA0182</v>
      </c>
      <c r="H734" s="3">
        <v>1466.51</v>
      </c>
      <c r="I734" s="3"/>
      <c r="J734" t="str">
        <f t="shared" si="251"/>
        <v>NEW ENGLAND GAS CO</v>
      </c>
      <c r="K734" t="str">
        <f>""</f>
        <v/>
      </c>
      <c r="L734" s="2" t="str">
        <f>"ACCT: 26219-02021; METER 00774535 - DEC 2015 MONTHLY GAS CONSUMPTION PAYMENT FOR 180 SOUTH MAIN STREET"</f>
        <v>ACCT: 26219-02021; METER 00774535 - DEC 2015 MONTHLY GAS CONSUMPTION PAYMENT FOR 180 SOUTH MAIN STREET</v>
      </c>
      <c r="M734" t="str">
        <f t="shared" ref="M734:M792" si="252">"SVALLANT"</f>
        <v>SVALLANT</v>
      </c>
    </row>
    <row r="735" spans="1:13" ht="30" x14ac:dyDescent="0.25">
      <c r="A735" t="str">
        <f t="shared" si="246"/>
        <v>10</v>
      </c>
      <c r="B735" t="str">
        <f t="shared" si="247"/>
        <v>066</v>
      </c>
      <c r="C735" t="str">
        <f t="shared" si="248"/>
        <v>3010106</v>
      </c>
      <c r="D735" t="str">
        <f t="shared" si="249"/>
        <v>03</v>
      </c>
      <c r="E735" t="str">
        <f t="shared" si="250"/>
        <v>644300</v>
      </c>
      <c r="F735" t="str">
        <f>"02/28/15"</f>
        <v>02/28/15</v>
      </c>
      <c r="G735" t="str">
        <f>"1566SXA0214"</f>
        <v>1566SXA0214</v>
      </c>
      <c r="H735" s="4">
        <v>3858.37</v>
      </c>
      <c r="I735" s="3"/>
      <c r="J735" t="str">
        <f t="shared" si="251"/>
        <v>NEW ENGLAND GAS CO</v>
      </c>
      <c r="K735" t="str">
        <f>""</f>
        <v/>
      </c>
      <c r="L735" s="2" t="str">
        <f>"ACCT: 26219-02021; METER: 00774535 - JANUARY 2015 MONTHLY GAS CONSUMPTION PAYMENT"</f>
        <v>ACCT: 26219-02021; METER: 00774535 - JANUARY 2015 MONTHLY GAS CONSUMPTION PAYMENT</v>
      </c>
      <c r="M735" t="str">
        <f t="shared" si="252"/>
        <v>SVALLANT</v>
      </c>
    </row>
    <row r="736" spans="1:13" ht="30" x14ac:dyDescent="0.25">
      <c r="A736" t="str">
        <f t="shared" si="246"/>
        <v>10</v>
      </c>
      <c r="B736" t="str">
        <f t="shared" si="247"/>
        <v>066</v>
      </c>
      <c r="C736" t="str">
        <f t="shared" si="248"/>
        <v>3010106</v>
      </c>
      <c r="D736" t="str">
        <f t="shared" si="249"/>
        <v>03</v>
      </c>
      <c r="E736" t="str">
        <f t="shared" si="250"/>
        <v>644300</v>
      </c>
      <c r="F736" t="str">
        <f>"02/29/16"</f>
        <v>02/29/16</v>
      </c>
      <c r="G736" t="str">
        <f>"1666SXA0216"</f>
        <v>1666SXA0216</v>
      </c>
      <c r="H736" s="4">
        <v>2891.34</v>
      </c>
      <c r="I736" s="3"/>
      <c r="J736" t="str">
        <f t="shared" si="251"/>
        <v>NEW ENGLAND GAS CO</v>
      </c>
      <c r="K736" t="str">
        <f>""</f>
        <v/>
      </c>
      <c r="L736" s="2" t="str">
        <f>"ACCT: 26219-02021; METER 00774535 - JAN 2016 MONTHLY GAS CONSUMPTION PAYMENT FOR 180 SOUTH MAIN STREET"</f>
        <v>ACCT: 26219-02021; METER 00774535 - JAN 2016 MONTHLY GAS CONSUMPTION PAYMENT FOR 180 SOUTH MAIN STREET</v>
      </c>
      <c r="M736" t="str">
        <f t="shared" si="252"/>
        <v>SVALLANT</v>
      </c>
    </row>
    <row r="737" spans="1:13" ht="30" x14ac:dyDescent="0.25">
      <c r="A737" t="str">
        <f t="shared" si="246"/>
        <v>10</v>
      </c>
      <c r="B737" t="str">
        <f t="shared" si="247"/>
        <v>066</v>
      </c>
      <c r="C737" t="str">
        <f t="shared" si="248"/>
        <v>3010106</v>
      </c>
      <c r="D737" t="str">
        <f t="shared" si="249"/>
        <v>03</v>
      </c>
      <c r="E737" t="str">
        <f t="shared" si="250"/>
        <v>644300</v>
      </c>
      <c r="F737" t="str">
        <f>"03/31/14"</f>
        <v>03/31/14</v>
      </c>
      <c r="G737" t="str">
        <f>"1466SXA0275"</f>
        <v>1466SXA0275</v>
      </c>
      <c r="H737" s="4">
        <v>666.42</v>
      </c>
      <c r="I737" s="3"/>
      <c r="J737" t="str">
        <f t="shared" si="251"/>
        <v>NEW ENGLAND GAS CO</v>
      </c>
      <c r="K737" t="str">
        <f>""</f>
        <v/>
      </c>
      <c r="L737" s="2" t="str">
        <f>"METER: 00774535; ACCT: 26219-02021 - 180 S MAIN FEB 2014 MONTHLY GAS CONSUMPTION PAYMENT"</f>
        <v>METER: 00774535; ACCT: 26219-02021 - 180 S MAIN FEB 2014 MONTHLY GAS CONSUMPTION PAYMENT</v>
      </c>
      <c r="M737" t="str">
        <f t="shared" si="252"/>
        <v>SVALLANT</v>
      </c>
    </row>
    <row r="738" spans="1:13" ht="30" x14ac:dyDescent="0.25">
      <c r="A738" t="str">
        <f t="shared" si="246"/>
        <v>10</v>
      </c>
      <c r="B738" t="str">
        <f t="shared" si="247"/>
        <v>066</v>
      </c>
      <c r="C738" t="str">
        <f t="shared" si="248"/>
        <v>3010106</v>
      </c>
      <c r="D738" t="str">
        <f t="shared" si="249"/>
        <v>03</v>
      </c>
      <c r="E738" t="str">
        <f t="shared" si="250"/>
        <v>644300</v>
      </c>
      <c r="F738" t="str">
        <f>"03/31/15"</f>
        <v>03/31/15</v>
      </c>
      <c r="G738" t="str">
        <f>"1566SXA0253"</f>
        <v>1566SXA0253</v>
      </c>
      <c r="H738" s="4">
        <v>902.7</v>
      </c>
      <c r="I738" s="3"/>
      <c r="J738" t="str">
        <f t="shared" si="251"/>
        <v>NEW ENGLAND GAS CO</v>
      </c>
      <c r="K738" t="str">
        <f>""</f>
        <v/>
      </c>
      <c r="L738" s="2" t="str">
        <f>"ACCT: 26219-02021; METER: 00774535 - FEB 2015 MONTHLY GAS CONSUMPTION PAYMENT FOR 180 SOUTH MAIN STREET BUILDING"</f>
        <v>ACCT: 26219-02021; METER: 00774535 - FEB 2015 MONTHLY GAS CONSUMPTION PAYMENT FOR 180 SOUTH MAIN STREET BUILDING</v>
      </c>
      <c r="M738" t="str">
        <f t="shared" si="252"/>
        <v>SVALLANT</v>
      </c>
    </row>
    <row r="739" spans="1:13" ht="30" x14ac:dyDescent="0.25">
      <c r="A739" t="str">
        <f t="shared" si="246"/>
        <v>10</v>
      </c>
      <c r="B739" t="str">
        <f t="shared" si="247"/>
        <v>066</v>
      </c>
      <c r="C739" t="str">
        <f t="shared" si="248"/>
        <v>3010106</v>
      </c>
      <c r="D739" t="str">
        <f t="shared" si="249"/>
        <v>03</v>
      </c>
      <c r="E739" t="str">
        <f t="shared" si="250"/>
        <v>644300</v>
      </c>
      <c r="F739" t="str">
        <f>"04/30/14"</f>
        <v>04/30/14</v>
      </c>
      <c r="G739" t="str">
        <f>"1466SXA0309A"</f>
        <v>1466SXA0309A</v>
      </c>
      <c r="H739" s="4">
        <v>1466.66</v>
      </c>
      <c r="I739" s="3"/>
      <c r="J739" t="str">
        <f t="shared" si="251"/>
        <v>NEW ENGLAND GAS CO</v>
      </c>
      <c r="K739" t="str">
        <f>""</f>
        <v/>
      </c>
      <c r="L739" s="2" t="str">
        <f>"ACCT: 26219-02021; METER: 00774535 - MAR 2013 MONTHLY GAS CONSUMPTION PAYMENT FOR 180 SOUTH MAIN STREET - LESS 7% SALES TAX"</f>
        <v>ACCT: 26219-02021; METER: 00774535 - MAR 2013 MONTHLY GAS CONSUMPTION PAYMENT FOR 180 SOUTH MAIN STREET - LESS 7% SALES TAX</v>
      </c>
      <c r="M739" t="str">
        <f t="shared" si="252"/>
        <v>SVALLANT</v>
      </c>
    </row>
    <row r="740" spans="1:13" ht="30" x14ac:dyDescent="0.25">
      <c r="A740" t="str">
        <f t="shared" si="246"/>
        <v>10</v>
      </c>
      <c r="B740" t="str">
        <f t="shared" si="247"/>
        <v>066</v>
      </c>
      <c r="C740" t="str">
        <f t="shared" si="248"/>
        <v>3010106</v>
      </c>
      <c r="D740" t="str">
        <f t="shared" si="249"/>
        <v>03</v>
      </c>
      <c r="E740" t="str">
        <f t="shared" si="250"/>
        <v>644300</v>
      </c>
      <c r="F740" t="str">
        <f>"04/30/15"</f>
        <v>04/30/15</v>
      </c>
      <c r="G740" t="str">
        <f>"1566SXA0297"</f>
        <v>1566SXA0297</v>
      </c>
      <c r="H740" s="4">
        <v>5529.17</v>
      </c>
      <c r="I740" s="3"/>
      <c r="J740" t="str">
        <f t="shared" si="251"/>
        <v>NEW ENGLAND GAS CO</v>
      </c>
      <c r="K740" t="str">
        <f>""</f>
        <v/>
      </c>
      <c r="L740" s="2" t="str">
        <f>"ACCT: 26219-02021; METER: 00774535 - MAR 2015 MONTHLY GAS CONSUMPTION PAYMENT - 180 SOUTH MAIN STREET BUILDING"</f>
        <v>ACCT: 26219-02021; METER: 00774535 - MAR 2015 MONTHLY GAS CONSUMPTION PAYMENT - 180 SOUTH MAIN STREET BUILDING</v>
      </c>
      <c r="M740" t="str">
        <f t="shared" si="252"/>
        <v>SVALLANT</v>
      </c>
    </row>
    <row r="741" spans="1:13" ht="30" x14ac:dyDescent="0.25">
      <c r="A741" t="str">
        <f t="shared" si="246"/>
        <v>10</v>
      </c>
      <c r="B741" t="str">
        <f t="shared" si="247"/>
        <v>066</v>
      </c>
      <c r="C741" t="str">
        <f t="shared" si="248"/>
        <v>3010106</v>
      </c>
      <c r="D741" t="str">
        <f t="shared" si="249"/>
        <v>03</v>
      </c>
      <c r="E741" t="str">
        <f t="shared" si="250"/>
        <v>644300</v>
      </c>
      <c r="F741" t="str">
        <f>"04/30/16"</f>
        <v>04/30/16</v>
      </c>
      <c r="G741" t="str">
        <f>"1666SXA0271"</f>
        <v>1666SXA0271</v>
      </c>
      <c r="H741" s="4">
        <v>2069.09</v>
      </c>
      <c r="I741" s="3"/>
      <c r="J741" t="str">
        <f t="shared" si="251"/>
        <v>NEW ENGLAND GAS CO</v>
      </c>
      <c r="K741" t="str">
        <f>""</f>
        <v/>
      </c>
      <c r="L741" s="2" t="str">
        <f>"ACCT: 26219-02021; METER: 00774535 - MAR 2016 MONTHLY GAS CONSUMPTION PAYMENT FOR 180 SOUTH MAIN STREET BUILDING"</f>
        <v>ACCT: 26219-02021; METER: 00774535 - MAR 2016 MONTHLY GAS CONSUMPTION PAYMENT FOR 180 SOUTH MAIN STREET BUILDING</v>
      </c>
      <c r="M741" t="str">
        <f t="shared" si="252"/>
        <v>SVALLANT</v>
      </c>
    </row>
    <row r="742" spans="1:13" x14ac:dyDescent="0.25">
      <c r="A742" t="str">
        <f t="shared" si="246"/>
        <v>10</v>
      </c>
      <c r="B742" t="str">
        <f t="shared" si="247"/>
        <v>066</v>
      </c>
      <c r="C742" t="str">
        <f t="shared" si="248"/>
        <v>3010106</v>
      </c>
      <c r="D742" t="str">
        <f t="shared" si="249"/>
        <v>03</v>
      </c>
      <c r="E742" t="str">
        <f t="shared" si="250"/>
        <v>644300</v>
      </c>
      <c r="F742" t="str">
        <f>"05/31/15"</f>
        <v>05/31/15</v>
      </c>
      <c r="G742" t="str">
        <f>"1566SXA0327"</f>
        <v>1566SXA0327</v>
      </c>
      <c r="H742" s="4">
        <v>1995.28</v>
      </c>
      <c r="I742" s="3"/>
      <c r="J742" t="str">
        <f t="shared" si="251"/>
        <v>NEW ENGLAND GAS CO</v>
      </c>
      <c r="K742" t="str">
        <f>""</f>
        <v/>
      </c>
      <c r="L742" s="2" t="str">
        <f>"ACCT: 26219-02021; APR 2015 MONTHLY GAS PAYMENT FOR 180 SOUTH MAIN STREET"</f>
        <v>ACCT: 26219-02021; APR 2015 MONTHLY GAS PAYMENT FOR 180 SOUTH MAIN STREET</v>
      </c>
      <c r="M742" t="str">
        <f t="shared" si="252"/>
        <v>SVALLANT</v>
      </c>
    </row>
    <row r="743" spans="1:13" ht="30" x14ac:dyDescent="0.25">
      <c r="A743" t="str">
        <f t="shared" si="246"/>
        <v>10</v>
      </c>
      <c r="B743" t="str">
        <f t="shared" si="247"/>
        <v>066</v>
      </c>
      <c r="C743" t="str">
        <f t="shared" si="248"/>
        <v>3010106</v>
      </c>
      <c r="D743" t="str">
        <f t="shared" si="249"/>
        <v>03</v>
      </c>
      <c r="E743" t="str">
        <f t="shared" si="250"/>
        <v>644300</v>
      </c>
      <c r="F743" t="str">
        <f>"05/31/16"</f>
        <v>05/31/16</v>
      </c>
      <c r="G743" t="str">
        <f>"1666SXA0301"</f>
        <v>1666SXA0301</v>
      </c>
      <c r="H743" s="4">
        <v>-5260.64</v>
      </c>
      <c r="I743" s="3"/>
      <c r="J743" t="str">
        <f t="shared" si="251"/>
        <v>NEW ENGLAND GAS CO</v>
      </c>
      <c r="K743" t="str">
        <f>""</f>
        <v/>
      </c>
      <c r="L743" s="2" t="str">
        <f>"ACCT: 14688-43022; METER: 54792216 - APR 2016 MONTHLY GAS CONSUMPTION PAYMENT AT 180 SOUTH MAIN STREET"</f>
        <v>ACCT: 14688-43022; METER: 54792216 - APR 2016 MONTHLY GAS CONSUMPTION PAYMENT AT 180 SOUTH MAIN STREET</v>
      </c>
      <c r="M743" t="str">
        <f t="shared" si="252"/>
        <v>SVALLANT</v>
      </c>
    </row>
    <row r="744" spans="1:13" ht="30" x14ac:dyDescent="0.25">
      <c r="A744" t="str">
        <f t="shared" si="246"/>
        <v>10</v>
      </c>
      <c r="B744" t="str">
        <f t="shared" si="247"/>
        <v>066</v>
      </c>
      <c r="C744" t="str">
        <f t="shared" si="248"/>
        <v>3010106</v>
      </c>
      <c r="D744" t="str">
        <f t="shared" si="249"/>
        <v>03</v>
      </c>
      <c r="E744" t="str">
        <f t="shared" si="250"/>
        <v>644300</v>
      </c>
      <c r="F744" t="str">
        <f>"05/31/16"</f>
        <v>05/31/16</v>
      </c>
      <c r="G744" t="str">
        <f>"1666SXA0301"</f>
        <v>1666SXA0301</v>
      </c>
      <c r="H744" s="4">
        <v>5260.64</v>
      </c>
      <c r="I744" s="3"/>
      <c r="J744" t="str">
        <f t="shared" si="251"/>
        <v>NEW ENGLAND GAS CO</v>
      </c>
      <c r="K744" t="str">
        <f>""</f>
        <v/>
      </c>
      <c r="L744" s="2" t="str">
        <f>"ACCT: 14688-43022; METER: 54792216 - APR 2016 MONTHLY GAS CONSUMPTION PAYMENT AT 180 SOUTH MAIN STREET"</f>
        <v>ACCT: 14688-43022; METER: 54792216 - APR 2016 MONTHLY GAS CONSUMPTION PAYMENT AT 180 SOUTH MAIN STREET</v>
      </c>
      <c r="M744" t="str">
        <f t="shared" si="252"/>
        <v>SVALLANT</v>
      </c>
    </row>
    <row r="745" spans="1:13" ht="30" x14ac:dyDescent="0.25">
      <c r="A745" t="str">
        <f t="shared" si="246"/>
        <v>10</v>
      </c>
      <c r="B745" t="str">
        <f t="shared" si="247"/>
        <v>066</v>
      </c>
      <c r="C745" t="str">
        <f t="shared" si="248"/>
        <v>3010106</v>
      </c>
      <c r="D745" t="str">
        <f t="shared" si="249"/>
        <v>03</v>
      </c>
      <c r="E745" t="str">
        <f t="shared" si="250"/>
        <v>644300</v>
      </c>
      <c r="F745" t="str">
        <f>"05/31/16"</f>
        <v>05/31/16</v>
      </c>
      <c r="G745" t="str">
        <f>"1666SXA0302"</f>
        <v>1666SXA0302</v>
      </c>
      <c r="H745" s="4">
        <v>1724.16</v>
      </c>
      <c r="I745" s="3"/>
      <c r="J745" t="str">
        <f t="shared" si="251"/>
        <v>NEW ENGLAND GAS CO</v>
      </c>
      <c r="K745" t="str">
        <f>""</f>
        <v/>
      </c>
      <c r="L745" s="2" t="str">
        <f>"ACCT: 26219-02021; METER: 00774535 - APR 2016 MONTHLY GAS CONSUMPTION PAYMENT AT 180 SOUTH MAIN STREET"</f>
        <v>ACCT: 26219-02021; METER: 00774535 - APR 2016 MONTHLY GAS CONSUMPTION PAYMENT AT 180 SOUTH MAIN STREET</v>
      </c>
      <c r="M745" t="str">
        <f t="shared" si="252"/>
        <v>SVALLANT</v>
      </c>
    </row>
    <row r="746" spans="1:13" ht="30" x14ac:dyDescent="0.25">
      <c r="A746" t="str">
        <f t="shared" si="246"/>
        <v>10</v>
      </c>
      <c r="B746" t="str">
        <f t="shared" si="247"/>
        <v>066</v>
      </c>
      <c r="C746" t="str">
        <f t="shared" si="248"/>
        <v>3010106</v>
      </c>
      <c r="D746" t="str">
        <f t="shared" si="249"/>
        <v>03</v>
      </c>
      <c r="E746" t="str">
        <f t="shared" si="250"/>
        <v>644300</v>
      </c>
      <c r="F746" t="str">
        <f>"06/30/14"</f>
        <v>06/30/14</v>
      </c>
      <c r="G746" t="str">
        <f>"1466SXA0372"</f>
        <v>1466SXA0372</v>
      </c>
      <c r="H746" s="4">
        <v>1178.95</v>
      </c>
      <c r="I746" s="3"/>
      <c r="J746" t="str">
        <f t="shared" si="251"/>
        <v>NEW ENGLAND GAS CO</v>
      </c>
      <c r="K746" t="str">
        <f>""</f>
        <v/>
      </c>
      <c r="L746" s="2" t="str">
        <f>"ACCT: 26219-02021; METER: 00774535 - MAR 1 - MAY 1, 2014 GAS CONSUMPTION MONTHLY PAYMENT - CORRECTED BILL TO CORRECT SALES TAX CHARGES AT 180 SOUTH MAIN STREET"</f>
        <v>ACCT: 26219-02021; METER: 00774535 - MAR 1 - MAY 1, 2014 GAS CONSUMPTION MONTHLY PAYMENT - CORRECTED BILL TO CORRECT SALES TAX CHARGES AT 180 SOUTH MAIN STREET</v>
      </c>
      <c r="M746" t="str">
        <f t="shared" si="252"/>
        <v>SVALLANT</v>
      </c>
    </row>
    <row r="747" spans="1:13" ht="30" x14ac:dyDescent="0.25">
      <c r="A747" t="str">
        <f t="shared" si="246"/>
        <v>10</v>
      </c>
      <c r="B747" t="str">
        <f t="shared" si="247"/>
        <v>066</v>
      </c>
      <c r="C747" t="str">
        <f t="shared" si="248"/>
        <v>3010106</v>
      </c>
      <c r="D747" t="str">
        <f t="shared" si="249"/>
        <v>03</v>
      </c>
      <c r="E747" t="str">
        <f t="shared" si="250"/>
        <v>644300</v>
      </c>
      <c r="F747" t="str">
        <f>"06/30/14"</f>
        <v>06/30/14</v>
      </c>
      <c r="G747" t="str">
        <f>"1466SXA0373"</f>
        <v>1466SXA0373</v>
      </c>
      <c r="H747" s="4">
        <v>725.81</v>
      </c>
      <c r="I747" s="3"/>
      <c r="J747" t="str">
        <f t="shared" si="251"/>
        <v>NEW ENGLAND GAS CO</v>
      </c>
      <c r="K747" t="str">
        <f>""</f>
        <v/>
      </c>
      <c r="L747" s="2" t="str">
        <f>"ACCT: 26219-02021; METER: 00774535 - MAY 1 - JUN 2, 2014 GAS CONSUMPTION MONTHLY PAYMENT AT 180 SOUTH MAIN STREET"</f>
        <v>ACCT: 26219-02021; METER: 00774535 - MAY 1 - JUN 2, 2014 GAS CONSUMPTION MONTHLY PAYMENT AT 180 SOUTH MAIN STREET</v>
      </c>
      <c r="M747" t="str">
        <f t="shared" si="252"/>
        <v>SVALLANT</v>
      </c>
    </row>
    <row r="748" spans="1:13" ht="30" x14ac:dyDescent="0.25">
      <c r="A748" t="str">
        <f t="shared" si="246"/>
        <v>10</v>
      </c>
      <c r="B748" t="str">
        <f t="shared" si="247"/>
        <v>066</v>
      </c>
      <c r="C748" t="str">
        <f t="shared" si="248"/>
        <v>3010106</v>
      </c>
      <c r="D748" t="str">
        <f t="shared" si="249"/>
        <v>03</v>
      </c>
      <c r="E748" t="str">
        <f t="shared" si="250"/>
        <v>644300</v>
      </c>
      <c r="F748" t="str">
        <f>"06/30/14"</f>
        <v>06/30/14</v>
      </c>
      <c r="G748" t="str">
        <f>"1466SXA0421"</f>
        <v>1466SXA0421</v>
      </c>
      <c r="H748" s="4">
        <v>778.09</v>
      </c>
      <c r="I748" s="3"/>
      <c r="J748" t="str">
        <f t="shared" si="251"/>
        <v>NEW ENGLAND GAS CO</v>
      </c>
      <c r="K748" t="str">
        <f>""</f>
        <v/>
      </c>
      <c r="L748" s="2" t="str">
        <f>"ACCT: 26219-02021; METER: 00774535 - JUN 2014 MONTHLY GAS CONSUMPTION PAYMENT FOR 180 SOUTH MAIN STREET"</f>
        <v>ACCT: 26219-02021; METER: 00774535 - JUN 2014 MONTHLY GAS CONSUMPTION PAYMENT FOR 180 SOUTH MAIN STREET</v>
      </c>
      <c r="M748" t="str">
        <f t="shared" si="252"/>
        <v>SVALLANT</v>
      </c>
    </row>
    <row r="749" spans="1:13" ht="30" x14ac:dyDescent="0.25">
      <c r="A749" t="str">
        <f t="shared" si="246"/>
        <v>10</v>
      </c>
      <c r="B749" t="str">
        <f t="shared" si="247"/>
        <v>066</v>
      </c>
      <c r="C749" t="str">
        <f t="shared" si="248"/>
        <v>3010106</v>
      </c>
      <c r="D749" t="str">
        <f t="shared" si="249"/>
        <v>03</v>
      </c>
      <c r="E749" t="str">
        <f t="shared" si="250"/>
        <v>644300</v>
      </c>
      <c r="F749" t="str">
        <f>"06/30/15"</f>
        <v>06/30/15</v>
      </c>
      <c r="G749" t="str">
        <f>"1566SXA0378"</f>
        <v>1566SXA0378</v>
      </c>
      <c r="H749" s="4">
        <v>997.34</v>
      </c>
      <c r="I749" s="3"/>
      <c r="J749" t="str">
        <f t="shared" si="251"/>
        <v>NEW ENGLAND GAS CO</v>
      </c>
      <c r="K749" t="str">
        <f>""</f>
        <v/>
      </c>
      <c r="L749" s="2" t="str">
        <f>"ACCT: 26219-02021; MAY 2015 MONTHLY GAS CONSUMPTION PAYMENT FOR 180 SOUTH MAIN STREET BUILDING"</f>
        <v>ACCT: 26219-02021; MAY 2015 MONTHLY GAS CONSUMPTION PAYMENT FOR 180 SOUTH MAIN STREET BUILDING</v>
      </c>
      <c r="M749" t="str">
        <f t="shared" si="252"/>
        <v>SVALLANT</v>
      </c>
    </row>
    <row r="750" spans="1:13" ht="30" x14ac:dyDescent="0.25">
      <c r="A750" t="str">
        <f t="shared" si="246"/>
        <v>10</v>
      </c>
      <c r="B750" t="str">
        <f t="shared" si="247"/>
        <v>066</v>
      </c>
      <c r="C750" t="str">
        <f t="shared" si="248"/>
        <v>3010106</v>
      </c>
      <c r="D750" t="str">
        <f t="shared" si="249"/>
        <v>03</v>
      </c>
      <c r="E750" t="str">
        <f t="shared" si="250"/>
        <v>644300</v>
      </c>
      <c r="F750" t="str">
        <f>"06/30/15"</f>
        <v>06/30/15</v>
      </c>
      <c r="G750" t="str">
        <f>"1566SXA0410A"</f>
        <v>1566SXA0410A</v>
      </c>
      <c r="H750" s="4">
        <v>680.74</v>
      </c>
      <c r="I750" s="3"/>
      <c r="J750" t="str">
        <f t="shared" si="251"/>
        <v>NEW ENGLAND GAS CO</v>
      </c>
      <c r="K750" t="str">
        <f>""</f>
        <v/>
      </c>
      <c r="L750" s="2" t="str">
        <f>"ACCT: 26219-02021; METER 00774535 - JUN 2015 MONTHLY GAS CONSUMPTION PAYMENT FOR 180 SOUTH MAIN STREET BUILDING30-JUN-2015"</f>
        <v>ACCT: 26219-02021; METER 00774535 - JUN 2015 MONTHLY GAS CONSUMPTION PAYMENT FOR 180 SOUTH MAIN STREET BUILDING30-JUN-2015</v>
      </c>
      <c r="M750" t="str">
        <f t="shared" si="252"/>
        <v>SVALLANT</v>
      </c>
    </row>
    <row r="751" spans="1:13" ht="30" x14ac:dyDescent="0.25">
      <c r="A751" t="str">
        <f t="shared" si="246"/>
        <v>10</v>
      </c>
      <c r="B751" t="str">
        <f t="shared" si="247"/>
        <v>066</v>
      </c>
      <c r="C751" t="str">
        <f t="shared" si="248"/>
        <v>3010106</v>
      </c>
      <c r="D751" t="str">
        <f t="shared" si="249"/>
        <v>03</v>
      </c>
      <c r="E751" t="str">
        <f t="shared" si="250"/>
        <v>644300</v>
      </c>
      <c r="F751" t="str">
        <f>"06/30/16"</f>
        <v>06/30/16</v>
      </c>
      <c r="G751" t="str">
        <f>"1666SXA0334"</f>
        <v>1666SXA0334</v>
      </c>
      <c r="H751" s="4">
        <v>1162.69</v>
      </c>
      <c r="I751" s="3"/>
      <c r="J751" t="str">
        <f t="shared" si="251"/>
        <v>NEW ENGLAND GAS CO</v>
      </c>
      <c r="K751" t="str">
        <f>""</f>
        <v/>
      </c>
      <c r="L751" s="2" t="str">
        <f>"ACCT: 26219-02021; METER: 00774535 - MAY 2016 MONTHLY GAS CONSUMPTION PAYMENT FOR 180 SOUTH MAIN STREET"</f>
        <v>ACCT: 26219-02021; METER: 00774535 - MAY 2016 MONTHLY GAS CONSUMPTION PAYMENT FOR 180 SOUTH MAIN STREET</v>
      </c>
      <c r="M751" t="str">
        <f t="shared" si="252"/>
        <v>SVALLANT</v>
      </c>
    </row>
    <row r="752" spans="1:13" ht="30" x14ac:dyDescent="0.25">
      <c r="A752" t="str">
        <f t="shared" si="246"/>
        <v>10</v>
      </c>
      <c r="B752" t="str">
        <f t="shared" si="247"/>
        <v>066</v>
      </c>
      <c r="C752" t="str">
        <f t="shared" si="248"/>
        <v>3010106</v>
      </c>
      <c r="D752" t="str">
        <f t="shared" si="249"/>
        <v>03</v>
      </c>
      <c r="E752" t="str">
        <f t="shared" si="250"/>
        <v>644300</v>
      </c>
      <c r="F752" t="str">
        <f>"06/30/16"</f>
        <v>06/30/16</v>
      </c>
      <c r="G752" t="str">
        <f>"1666SXA0364"</f>
        <v>1666SXA0364</v>
      </c>
      <c r="H752" s="4">
        <v>594.37</v>
      </c>
      <c r="I752" s="3"/>
      <c r="J752" t="str">
        <f t="shared" si="251"/>
        <v>NEW ENGLAND GAS CO</v>
      </c>
      <c r="K752" t="str">
        <f>""</f>
        <v/>
      </c>
      <c r="L752" s="2" t="str">
        <f>"ACCT: 26219-02021; METER: 00774535 - JUN 2016 MONTHLY GAS PAYMENT FOR 180 SOUTH MAIN STREET"</f>
        <v>ACCT: 26219-02021; METER: 00774535 - JUN 2016 MONTHLY GAS PAYMENT FOR 180 SOUTH MAIN STREET</v>
      </c>
      <c r="M752" t="str">
        <f t="shared" si="252"/>
        <v>SVALLANT</v>
      </c>
    </row>
    <row r="753" spans="1:13" ht="30" x14ac:dyDescent="0.25">
      <c r="A753" t="str">
        <f t="shared" si="246"/>
        <v>10</v>
      </c>
      <c r="B753" t="str">
        <f t="shared" si="247"/>
        <v>066</v>
      </c>
      <c r="C753" t="str">
        <f t="shared" si="248"/>
        <v>3010106</v>
      </c>
      <c r="D753" t="str">
        <f t="shared" si="249"/>
        <v>03</v>
      </c>
      <c r="E753" t="str">
        <f t="shared" si="250"/>
        <v>644300</v>
      </c>
      <c r="F753" t="str">
        <f>"08/31/14"</f>
        <v>08/31/14</v>
      </c>
      <c r="G753" t="str">
        <f>"1566SXA0022"</f>
        <v>1566SXA0022</v>
      </c>
      <c r="H753" s="4">
        <v>873.43</v>
      </c>
      <c r="I753" s="3"/>
      <c r="J753" t="str">
        <f t="shared" si="251"/>
        <v>NEW ENGLAND GAS CO</v>
      </c>
      <c r="K753" t="str">
        <f>""</f>
        <v/>
      </c>
      <c r="L753" s="2" t="str">
        <f>"ACCT: 26219-02021; METER: 00774535 - JUL 2014 MONTHLY PAYMENT FOR GAS CONSUMPTION AT 180 SOUTH MAIN STREET BUILDING"</f>
        <v>ACCT: 26219-02021; METER: 00774535 - JUL 2014 MONTHLY PAYMENT FOR GAS CONSUMPTION AT 180 SOUTH MAIN STREET BUILDING</v>
      </c>
      <c r="M753" t="str">
        <f t="shared" si="252"/>
        <v>SVALLANT</v>
      </c>
    </row>
    <row r="754" spans="1:13" ht="30" x14ac:dyDescent="0.25">
      <c r="A754" t="str">
        <f t="shared" si="246"/>
        <v>10</v>
      </c>
      <c r="B754" t="str">
        <f t="shared" si="247"/>
        <v>066</v>
      </c>
      <c r="C754" t="str">
        <f t="shared" si="248"/>
        <v>3010106</v>
      </c>
      <c r="D754" t="str">
        <f t="shared" si="249"/>
        <v>03</v>
      </c>
      <c r="E754" t="str">
        <f t="shared" si="250"/>
        <v>644300</v>
      </c>
      <c r="F754" t="str">
        <f>"08/31/15"</f>
        <v>08/31/15</v>
      </c>
      <c r="G754" t="str">
        <f>"1666SXA0013"</f>
        <v>1666SXA0013</v>
      </c>
      <c r="H754" s="4">
        <v>395.32</v>
      </c>
      <c r="I754" s="3"/>
      <c r="J754" t="str">
        <f t="shared" si="251"/>
        <v>NEW ENGLAND GAS CO</v>
      </c>
      <c r="K754" t="str">
        <f>""</f>
        <v/>
      </c>
      <c r="L754" s="2" t="str">
        <f>"ACCT: 26219-02021; METER: 00774535 - JUL 2015 MONTHLY GAS CONSUMPTION PAYMENT FOR 180 SOUTH MAIN STREET BUILDING"</f>
        <v>ACCT: 26219-02021; METER: 00774535 - JUL 2015 MONTHLY GAS CONSUMPTION PAYMENT FOR 180 SOUTH MAIN STREET BUILDING</v>
      </c>
      <c r="M754" t="str">
        <f t="shared" si="252"/>
        <v>SVALLANT</v>
      </c>
    </row>
    <row r="755" spans="1:13" x14ac:dyDescent="0.25">
      <c r="A755" t="str">
        <f t="shared" si="246"/>
        <v>10</v>
      </c>
      <c r="B755" t="str">
        <f t="shared" si="247"/>
        <v>066</v>
      </c>
      <c r="C755" t="str">
        <f t="shared" si="248"/>
        <v>3010106</v>
      </c>
      <c r="D755" t="str">
        <f t="shared" si="249"/>
        <v>03</v>
      </c>
      <c r="E755" t="str">
        <f t="shared" si="250"/>
        <v>644300</v>
      </c>
      <c r="F755" t="str">
        <f>"09/30/14"</f>
        <v>09/30/14</v>
      </c>
      <c r="G755" t="str">
        <f>"1566SXA0064"</f>
        <v>1566SXA0064</v>
      </c>
      <c r="H755" s="4">
        <v>891.49</v>
      </c>
      <c r="I755" s="3"/>
      <c r="J755" t="str">
        <f t="shared" si="251"/>
        <v>NEW ENGLAND GAS CO</v>
      </c>
      <c r="K755" t="str">
        <f>""</f>
        <v/>
      </c>
      <c r="L755" s="2" t="str">
        <f>"ACCT: 26219-02021; METER: 774535 -  AUG 2014 MONTHLY GAS PAYMENT"</f>
        <v>ACCT: 26219-02021; METER: 774535 -  AUG 2014 MONTHLY GAS PAYMENT</v>
      </c>
      <c r="M755" t="str">
        <f t="shared" si="252"/>
        <v>SVALLANT</v>
      </c>
    </row>
    <row r="756" spans="1:13" ht="30" x14ac:dyDescent="0.25">
      <c r="A756" t="str">
        <f t="shared" si="246"/>
        <v>10</v>
      </c>
      <c r="B756" t="str">
        <f t="shared" si="247"/>
        <v>066</v>
      </c>
      <c r="C756" t="str">
        <f t="shared" si="248"/>
        <v>3010106</v>
      </c>
      <c r="D756" t="str">
        <f t="shared" si="249"/>
        <v>03</v>
      </c>
      <c r="E756" t="str">
        <f t="shared" si="250"/>
        <v>644300</v>
      </c>
      <c r="F756" t="str">
        <f>"09/30/15"</f>
        <v>09/30/15</v>
      </c>
      <c r="G756" t="str">
        <f>"1666SXA0055"</f>
        <v>1666SXA0055</v>
      </c>
      <c r="H756" s="4">
        <v>849.58</v>
      </c>
      <c r="I756" s="3"/>
      <c r="J756" t="str">
        <f t="shared" si="251"/>
        <v>NEW ENGLAND GAS CO</v>
      </c>
      <c r="K756" t="str">
        <f>""</f>
        <v/>
      </c>
      <c r="L756" s="2" t="str">
        <f>"ACCT: 26219-02021; METER: 00774535 - AUG 2015 MONTHLY GAS CONSUMPTION PAYMENT FOR 180 SOUTH MAIN STREET"</f>
        <v>ACCT: 26219-02021; METER: 00774535 - AUG 2015 MONTHLY GAS CONSUMPTION PAYMENT FOR 180 SOUTH MAIN STREET</v>
      </c>
      <c r="M756" t="str">
        <f t="shared" si="252"/>
        <v>SVALLANT</v>
      </c>
    </row>
    <row r="757" spans="1:13" ht="30" x14ac:dyDescent="0.25">
      <c r="A757" t="str">
        <f t="shared" si="246"/>
        <v>10</v>
      </c>
      <c r="B757" t="str">
        <f t="shared" si="247"/>
        <v>066</v>
      </c>
      <c r="C757" t="str">
        <f t="shared" si="248"/>
        <v>3010106</v>
      </c>
      <c r="D757" t="str">
        <f t="shared" si="249"/>
        <v>03</v>
      </c>
      <c r="E757" t="str">
        <f t="shared" si="250"/>
        <v>644300</v>
      </c>
      <c r="F757" t="str">
        <f>"10/31/14"</f>
        <v>10/31/14</v>
      </c>
      <c r="G757" t="str">
        <f>"1566SXA0096"</f>
        <v>1566SXA0096</v>
      </c>
      <c r="H757" s="4">
        <v>848.97</v>
      </c>
      <c r="I757" s="3"/>
      <c r="J757" t="str">
        <f t="shared" si="251"/>
        <v>NEW ENGLAND GAS CO</v>
      </c>
      <c r="K757" t="str">
        <f>""</f>
        <v/>
      </c>
      <c r="L757" s="2" t="str">
        <f>"ACCT: 26219-02021; METER: 00774535 - SEPT 2014 MONTHLY GAS CONSUMPTION PAYMENT AT 180 SOUTH MAIN STREET BUILDING"</f>
        <v>ACCT: 26219-02021; METER: 00774535 - SEPT 2014 MONTHLY GAS CONSUMPTION PAYMENT AT 180 SOUTH MAIN STREET BUILDING</v>
      </c>
      <c r="M757" t="str">
        <f t="shared" si="252"/>
        <v>SVALLANT</v>
      </c>
    </row>
    <row r="758" spans="1:13" ht="30" x14ac:dyDescent="0.25">
      <c r="A758" t="str">
        <f t="shared" si="246"/>
        <v>10</v>
      </c>
      <c r="B758" t="str">
        <f t="shared" si="247"/>
        <v>066</v>
      </c>
      <c r="C758" t="str">
        <f t="shared" si="248"/>
        <v>3010106</v>
      </c>
      <c r="D758" t="str">
        <f t="shared" si="249"/>
        <v>03</v>
      </c>
      <c r="E758" t="str">
        <f t="shared" si="250"/>
        <v>644300</v>
      </c>
      <c r="F758" t="str">
        <f>"10/31/14"</f>
        <v>10/31/14</v>
      </c>
      <c r="G758" t="str">
        <f>"1566SXA0098"</f>
        <v>1566SXA0098</v>
      </c>
      <c r="H758" s="4">
        <v>2537.61</v>
      </c>
      <c r="I758" s="3"/>
      <c r="J758" t="str">
        <f t="shared" si="251"/>
        <v>NEW ENGLAND GAS CO</v>
      </c>
      <c r="K758" t="str">
        <f>""</f>
        <v/>
      </c>
      <c r="L758" s="2" t="str">
        <f>"ACCT: 14688-43022; METER: 54792216 - SEPT 2014 MONTHLY ELECTRICAL PAYMENT FOR 180 SOUTH MAIN STREET"</f>
        <v>ACCT: 14688-43022; METER: 54792216 - SEPT 2014 MONTHLY ELECTRICAL PAYMENT FOR 180 SOUTH MAIN STREET</v>
      </c>
      <c r="M758" t="str">
        <f t="shared" si="252"/>
        <v>SVALLANT</v>
      </c>
    </row>
    <row r="759" spans="1:13" ht="30" x14ac:dyDescent="0.25">
      <c r="A759" t="str">
        <f t="shared" si="246"/>
        <v>10</v>
      </c>
      <c r="B759" t="str">
        <f t="shared" si="247"/>
        <v>066</v>
      </c>
      <c r="C759" t="str">
        <f t="shared" si="248"/>
        <v>3010106</v>
      </c>
      <c r="D759" t="str">
        <f t="shared" si="249"/>
        <v>03</v>
      </c>
      <c r="E759" t="str">
        <f t="shared" si="250"/>
        <v>644300</v>
      </c>
      <c r="F759" t="str">
        <f>"10/31/15"</f>
        <v>10/31/15</v>
      </c>
      <c r="G759" t="str">
        <f>"1666SXA0082"</f>
        <v>1666SXA0082</v>
      </c>
      <c r="H759" s="4">
        <v>813.39</v>
      </c>
      <c r="I759" s="3"/>
      <c r="J759" t="str">
        <f t="shared" si="251"/>
        <v>NEW ENGLAND GAS CO</v>
      </c>
      <c r="K759" t="str">
        <f>""</f>
        <v/>
      </c>
      <c r="L759" s="2" t="str">
        <f>"ACCT: 26219-02021; METER: 00774535 - SEPT 2015 MONTHLY GAS CONSUMPTION PAYMENT FOR 180 SOUTH MAIN STREET"</f>
        <v>ACCT: 26219-02021; METER: 00774535 - SEPT 2015 MONTHLY GAS CONSUMPTION PAYMENT FOR 180 SOUTH MAIN STREET</v>
      </c>
      <c r="M759" t="str">
        <f t="shared" si="252"/>
        <v>SVALLANT</v>
      </c>
    </row>
    <row r="760" spans="1:13" ht="30" x14ac:dyDescent="0.25">
      <c r="A760" t="str">
        <f t="shared" si="246"/>
        <v>10</v>
      </c>
      <c r="B760" t="str">
        <f t="shared" si="247"/>
        <v>066</v>
      </c>
      <c r="C760" t="str">
        <f t="shared" si="248"/>
        <v>3010106</v>
      </c>
      <c r="D760" t="str">
        <f t="shared" si="249"/>
        <v>03</v>
      </c>
      <c r="E760" t="str">
        <f t="shared" si="250"/>
        <v>644300</v>
      </c>
      <c r="F760" t="str">
        <f>"11/30/14"</f>
        <v>11/30/14</v>
      </c>
      <c r="G760" t="str">
        <f>"1566SXA0128"</f>
        <v>1566SXA0128</v>
      </c>
      <c r="H760" s="4">
        <v>2068.5500000000002</v>
      </c>
      <c r="I760" s="3"/>
      <c r="J760" t="str">
        <f t="shared" si="251"/>
        <v>NEW ENGLAND GAS CO</v>
      </c>
      <c r="K760" t="str">
        <f>""</f>
        <v/>
      </c>
      <c r="L760" s="2" t="str">
        <f>"ACCT: 26219-02021; METER: 00774535 - OCT 2014 MONTHLY GAS PAYMENT FOR 180 SOUTH MAIN STREET"</f>
        <v>ACCT: 26219-02021; METER: 00774535 - OCT 2014 MONTHLY GAS PAYMENT FOR 180 SOUTH MAIN STREET</v>
      </c>
      <c r="M760" t="str">
        <f t="shared" si="252"/>
        <v>SVALLANT</v>
      </c>
    </row>
    <row r="761" spans="1:13" ht="30" x14ac:dyDescent="0.25">
      <c r="A761" t="str">
        <f t="shared" si="246"/>
        <v>10</v>
      </c>
      <c r="B761" t="str">
        <f t="shared" si="247"/>
        <v>066</v>
      </c>
      <c r="C761" t="str">
        <f t="shared" si="248"/>
        <v>3010106</v>
      </c>
      <c r="D761" t="str">
        <f t="shared" si="249"/>
        <v>03</v>
      </c>
      <c r="E761" t="str">
        <f t="shared" si="250"/>
        <v>644300</v>
      </c>
      <c r="F761" t="str">
        <f>"11/30/15"</f>
        <v>11/30/15</v>
      </c>
      <c r="G761" t="str">
        <f>"1666SXA0119"</f>
        <v>1666SXA0119</v>
      </c>
      <c r="H761" s="4">
        <v>1612.36</v>
      </c>
      <c r="I761" s="3"/>
      <c r="J761" t="str">
        <f t="shared" si="251"/>
        <v>NEW ENGLAND GAS CO</v>
      </c>
      <c r="K761" t="str">
        <f>""</f>
        <v/>
      </c>
      <c r="L761" s="2" t="str">
        <f>"ACCT: 26219-02021; METER: 00774535 - OCT 2015 MONTHLY GAS CONSUMPTION PAYMENT FOR 180 SOUTH MAIN STREET BUILDING"</f>
        <v>ACCT: 26219-02021; METER: 00774535 - OCT 2015 MONTHLY GAS CONSUMPTION PAYMENT FOR 180 SOUTH MAIN STREET BUILDING</v>
      </c>
      <c r="M761" t="str">
        <f t="shared" si="252"/>
        <v>SVALLANT</v>
      </c>
    </row>
    <row r="762" spans="1:13" ht="30" x14ac:dyDescent="0.25">
      <c r="A762" t="str">
        <f t="shared" si="246"/>
        <v>10</v>
      </c>
      <c r="B762" t="str">
        <f t="shared" si="247"/>
        <v>066</v>
      </c>
      <c r="C762" t="str">
        <f t="shared" si="248"/>
        <v>3010106</v>
      </c>
      <c r="D762" t="str">
        <f t="shared" si="249"/>
        <v>03</v>
      </c>
      <c r="E762" t="str">
        <f t="shared" si="250"/>
        <v>644300</v>
      </c>
      <c r="F762" t="str">
        <f>"12/31/14"</f>
        <v>12/31/14</v>
      </c>
      <c r="G762" t="str">
        <f>"1566SXA0155"</f>
        <v>1566SXA0155</v>
      </c>
      <c r="H762" s="4">
        <v>2870.02</v>
      </c>
      <c r="I762" s="3"/>
      <c r="J762" t="str">
        <f t="shared" si="251"/>
        <v>NEW ENGLAND GAS CO</v>
      </c>
      <c r="K762" t="str">
        <f>""</f>
        <v/>
      </c>
      <c r="L762" s="2" t="str">
        <f>"ACCT: 26219-02021; METER: 00774535 - 10/29/14-12/1/14 MONTHLY GAS CONSUMPTION PAYMENT AT 180 SOUTH MAIN STREET BUILDING"</f>
        <v>ACCT: 26219-02021; METER: 00774535 - 10/29/14-12/1/14 MONTHLY GAS CONSUMPTION PAYMENT AT 180 SOUTH MAIN STREET BUILDING</v>
      </c>
      <c r="M762" t="str">
        <f t="shared" si="252"/>
        <v>SVALLANT</v>
      </c>
    </row>
    <row r="763" spans="1:13" ht="30" x14ac:dyDescent="0.25">
      <c r="A763" t="str">
        <f t="shared" si="246"/>
        <v>10</v>
      </c>
      <c r="B763" t="str">
        <f t="shared" si="247"/>
        <v>066</v>
      </c>
      <c r="C763" t="str">
        <f t="shared" si="248"/>
        <v>3010106</v>
      </c>
      <c r="D763" t="str">
        <f t="shared" si="249"/>
        <v>03</v>
      </c>
      <c r="E763" t="str">
        <f t="shared" si="250"/>
        <v>644300</v>
      </c>
      <c r="F763" t="str">
        <f>"12/31/15"</f>
        <v>12/31/15</v>
      </c>
      <c r="G763" t="str">
        <f>"1666SXA0143"</f>
        <v>1666SXA0143</v>
      </c>
      <c r="H763" s="4">
        <v>1385.04</v>
      </c>
      <c r="I763" s="3"/>
      <c r="J763" t="str">
        <f t="shared" si="251"/>
        <v>NEW ENGLAND GAS CO</v>
      </c>
      <c r="K763" t="str">
        <f>""</f>
        <v/>
      </c>
      <c r="L763" s="2" t="str">
        <f>"ACCT: 26219-02021; METER: 00774535 - NOV 2015 MONTHLY GAS CONSUMPTION PAYMENT FOR 180 SOUTH MAIN STREET"</f>
        <v>ACCT: 26219-02021; METER: 00774535 - NOV 2015 MONTHLY GAS CONSUMPTION PAYMENT FOR 180 SOUTH MAIN STREET</v>
      </c>
      <c r="M763" t="str">
        <f t="shared" si="252"/>
        <v>SVALLANT</v>
      </c>
    </row>
    <row r="764" spans="1:13" ht="30" x14ac:dyDescent="0.25">
      <c r="A764" t="str">
        <f t="shared" si="246"/>
        <v>10</v>
      </c>
      <c r="B764" t="str">
        <f t="shared" si="247"/>
        <v>066</v>
      </c>
      <c r="C764" t="str">
        <f t="shared" si="248"/>
        <v>3010106</v>
      </c>
      <c r="D764" t="str">
        <f t="shared" si="249"/>
        <v>03</v>
      </c>
      <c r="E764" t="str">
        <f t="shared" ref="E764:E779" si="253">"644510"</f>
        <v>644510</v>
      </c>
      <c r="F764" t="str">
        <f>"01/31/15"</f>
        <v>01/31/15</v>
      </c>
      <c r="G764" t="str">
        <f>"1566SXA0186"</f>
        <v>1566SXA0186</v>
      </c>
      <c r="H764" s="4">
        <v>3209.6</v>
      </c>
      <c r="I764" s="3"/>
      <c r="J764" t="str">
        <f t="shared" si="251"/>
        <v>NEW ENGLAND GAS CO</v>
      </c>
      <c r="K764" t="str">
        <f>""</f>
        <v/>
      </c>
      <c r="L764" s="2" t="str">
        <f>"ACCT: 14688-43022; METER: 54792216 - DEC 2014 MONTHLY ELECTRIC PAYMENT FOR 180 SOUTH MAIN STREET BUILDING"</f>
        <v>ACCT: 14688-43022; METER: 54792216 - DEC 2014 MONTHLY ELECTRIC PAYMENT FOR 180 SOUTH MAIN STREET BUILDING</v>
      </c>
      <c r="M764" t="str">
        <f t="shared" si="252"/>
        <v>SVALLANT</v>
      </c>
    </row>
    <row r="765" spans="1:13" ht="30" x14ac:dyDescent="0.25">
      <c r="A765" t="str">
        <f t="shared" si="246"/>
        <v>10</v>
      </c>
      <c r="B765" t="str">
        <f t="shared" si="247"/>
        <v>066</v>
      </c>
      <c r="C765" t="str">
        <f t="shared" si="248"/>
        <v>3010106</v>
      </c>
      <c r="D765" t="str">
        <f t="shared" si="249"/>
        <v>03</v>
      </c>
      <c r="E765" t="str">
        <f t="shared" si="253"/>
        <v>644510</v>
      </c>
      <c r="F765" t="str">
        <f>"02/28/15"</f>
        <v>02/28/15</v>
      </c>
      <c r="G765" t="str">
        <f>"1566SXA0219"</f>
        <v>1566SXA0219</v>
      </c>
      <c r="H765" s="4">
        <v>3488.86</v>
      </c>
      <c r="I765" s="3"/>
      <c r="J765" t="str">
        <f t="shared" si="251"/>
        <v>NEW ENGLAND GAS CO</v>
      </c>
      <c r="K765" t="str">
        <f>""</f>
        <v/>
      </c>
      <c r="L765" s="2" t="str">
        <f>"ACCT: 14688-43022; METER: 54792216 - JAN. 2015 MONTHLY ELECTRIC PAYMENT FOR 180 SOUTH MAIN STREET"</f>
        <v>ACCT: 14688-43022; METER: 54792216 - JAN. 2015 MONTHLY ELECTRIC PAYMENT FOR 180 SOUTH MAIN STREET</v>
      </c>
      <c r="M765" t="str">
        <f t="shared" si="252"/>
        <v>SVALLANT</v>
      </c>
    </row>
    <row r="766" spans="1:13" ht="30" x14ac:dyDescent="0.25">
      <c r="A766" t="str">
        <f t="shared" si="246"/>
        <v>10</v>
      </c>
      <c r="B766" t="str">
        <f t="shared" si="247"/>
        <v>066</v>
      </c>
      <c r="C766" t="str">
        <f t="shared" si="248"/>
        <v>3010106</v>
      </c>
      <c r="D766" t="str">
        <f t="shared" si="249"/>
        <v>03</v>
      </c>
      <c r="E766" t="str">
        <f t="shared" si="253"/>
        <v>644510</v>
      </c>
      <c r="F766" t="str">
        <f>"02/29/16"</f>
        <v>02/29/16</v>
      </c>
      <c r="G766" t="str">
        <f>"1666SXA0215"</f>
        <v>1666SXA0215</v>
      </c>
      <c r="H766" s="4">
        <v>7275.89</v>
      </c>
      <c r="I766" s="3"/>
      <c r="J766" t="str">
        <f t="shared" si="251"/>
        <v>NEW ENGLAND GAS CO</v>
      </c>
      <c r="K766" t="str">
        <f>""</f>
        <v/>
      </c>
      <c r="L766" s="2" t="str">
        <f>"ACCT: 14688-43022; METER 54792216 - JAN 2016 MONTHLY ELECTRIC PAYMENT FOR 180 SOUTH MAIN STREET"</f>
        <v>ACCT: 14688-43022; METER 54792216 - JAN 2016 MONTHLY ELECTRIC PAYMENT FOR 180 SOUTH MAIN STREET</v>
      </c>
      <c r="M766" t="str">
        <f t="shared" si="252"/>
        <v>SVALLANT</v>
      </c>
    </row>
    <row r="767" spans="1:13" ht="30" x14ac:dyDescent="0.25">
      <c r="A767" t="str">
        <f t="shared" si="246"/>
        <v>10</v>
      </c>
      <c r="B767" t="str">
        <f t="shared" si="247"/>
        <v>066</v>
      </c>
      <c r="C767" t="str">
        <f t="shared" si="248"/>
        <v>3010106</v>
      </c>
      <c r="D767" t="str">
        <f t="shared" si="249"/>
        <v>03</v>
      </c>
      <c r="E767" t="str">
        <f t="shared" si="253"/>
        <v>644510</v>
      </c>
      <c r="F767" t="str">
        <f>"03/31/15"</f>
        <v>03/31/15</v>
      </c>
      <c r="G767" t="str">
        <f>"1566SXA0257"</f>
        <v>1566SXA0257</v>
      </c>
      <c r="H767" s="4">
        <v>3328.25</v>
      </c>
      <c r="I767" s="3"/>
      <c r="J767" t="str">
        <f t="shared" si="251"/>
        <v>NEW ENGLAND GAS CO</v>
      </c>
      <c r="K767" t="str">
        <f>""</f>
        <v/>
      </c>
      <c r="L767" s="2" t="str">
        <f>"ACCT: 14688-43022; METER: 54792216 - FEB 2015 MONTHLY ELECTRIC PAYMENT FOR 180 SOUTH MAIN STREET BUILDING"</f>
        <v>ACCT: 14688-43022; METER: 54792216 - FEB 2015 MONTHLY ELECTRIC PAYMENT FOR 180 SOUTH MAIN STREET BUILDING</v>
      </c>
      <c r="M767" t="str">
        <f t="shared" si="252"/>
        <v>SVALLANT</v>
      </c>
    </row>
    <row r="768" spans="1:13" ht="30" x14ac:dyDescent="0.25">
      <c r="A768" t="str">
        <f t="shared" si="246"/>
        <v>10</v>
      </c>
      <c r="B768" t="str">
        <f t="shared" si="247"/>
        <v>066</v>
      </c>
      <c r="C768" t="str">
        <f t="shared" si="248"/>
        <v>3010106</v>
      </c>
      <c r="D768" t="str">
        <f t="shared" si="249"/>
        <v>03</v>
      </c>
      <c r="E768" t="str">
        <f t="shared" si="253"/>
        <v>644510</v>
      </c>
      <c r="F768" t="str">
        <f>"04/30/14"</f>
        <v>04/30/14</v>
      </c>
      <c r="G768" t="str">
        <f>"1466SXA0310"</f>
        <v>1466SXA0310</v>
      </c>
      <c r="H768" s="4">
        <v>1816.48</v>
      </c>
      <c r="I768" s="3"/>
      <c r="J768" t="str">
        <f t="shared" si="251"/>
        <v>NEW ENGLAND GAS CO</v>
      </c>
      <c r="K768" t="str">
        <f>""</f>
        <v/>
      </c>
      <c r="L768" s="2" t="str">
        <f>"ACCT: 14688-43022; METER: 54792216 - MAR 2013 MONTHLY ELECTRIC PAYMENT FOR 180 SOUTH MAIN STREET"</f>
        <v>ACCT: 14688-43022; METER: 54792216 - MAR 2013 MONTHLY ELECTRIC PAYMENT FOR 180 SOUTH MAIN STREET</v>
      </c>
      <c r="M768" t="str">
        <f t="shared" si="252"/>
        <v>SVALLANT</v>
      </c>
    </row>
    <row r="769" spans="1:13" ht="30" x14ac:dyDescent="0.25">
      <c r="A769" t="str">
        <f t="shared" si="246"/>
        <v>10</v>
      </c>
      <c r="B769" t="str">
        <f t="shared" si="247"/>
        <v>066</v>
      </c>
      <c r="C769" t="str">
        <f t="shared" si="248"/>
        <v>3010106</v>
      </c>
      <c r="D769" t="str">
        <f t="shared" si="249"/>
        <v>03</v>
      </c>
      <c r="E769" t="str">
        <f t="shared" si="253"/>
        <v>644510</v>
      </c>
      <c r="F769" t="str">
        <f>"04/30/15"</f>
        <v>04/30/15</v>
      </c>
      <c r="G769" t="str">
        <f>"1566SXA0296"</f>
        <v>1566SXA0296</v>
      </c>
      <c r="H769" s="4">
        <v>2512.1</v>
      </c>
      <c r="I769" s="3"/>
      <c r="J769" t="str">
        <f t="shared" si="251"/>
        <v>NEW ENGLAND GAS CO</v>
      </c>
      <c r="K769" t="str">
        <f>""</f>
        <v/>
      </c>
      <c r="L769" s="2" t="str">
        <f>"ACCT: 14688-43022; METER: 54792216 - MAR 2015 MONTHLY ELECTRIC PAYMENT - 180 SOUTH MAIN STREET BUILDING"</f>
        <v>ACCT: 14688-43022; METER: 54792216 - MAR 2015 MONTHLY ELECTRIC PAYMENT - 180 SOUTH MAIN STREET BUILDING</v>
      </c>
      <c r="M769" t="str">
        <f t="shared" si="252"/>
        <v>SVALLANT</v>
      </c>
    </row>
    <row r="770" spans="1:13" ht="30" x14ac:dyDescent="0.25">
      <c r="A770" t="str">
        <f t="shared" si="246"/>
        <v>10</v>
      </c>
      <c r="B770" t="str">
        <f t="shared" si="247"/>
        <v>066</v>
      </c>
      <c r="C770" t="str">
        <f t="shared" si="248"/>
        <v>3010106</v>
      </c>
      <c r="D770" t="str">
        <f t="shared" si="249"/>
        <v>03</v>
      </c>
      <c r="E770" t="str">
        <f t="shared" si="253"/>
        <v>644510</v>
      </c>
      <c r="F770" t="str">
        <f>"04/30/16"</f>
        <v>04/30/16</v>
      </c>
      <c r="G770" t="str">
        <f>"1666SXA0272"</f>
        <v>1666SXA0272</v>
      </c>
      <c r="H770" s="4">
        <v>5623.88</v>
      </c>
      <c r="I770" s="3"/>
      <c r="J770" t="str">
        <f t="shared" si="251"/>
        <v>NEW ENGLAND GAS CO</v>
      </c>
      <c r="K770" t="str">
        <f>""</f>
        <v/>
      </c>
      <c r="L770" s="2" t="str">
        <f>"ACCT: 14688-43022; METER: 54792216 - MAR 2016 MONTHLY ELECTRIC PAYMENT FOR 180 SOUTH MAIN STREET BUILDING"</f>
        <v>ACCT: 14688-43022; METER: 54792216 - MAR 2016 MONTHLY ELECTRIC PAYMENT FOR 180 SOUTH MAIN STREET BUILDING</v>
      </c>
      <c r="M770" t="str">
        <f t="shared" si="252"/>
        <v>SVALLANT</v>
      </c>
    </row>
    <row r="771" spans="1:13" ht="30" x14ac:dyDescent="0.25">
      <c r="A771" t="str">
        <f t="shared" si="246"/>
        <v>10</v>
      </c>
      <c r="B771" t="str">
        <f t="shared" si="247"/>
        <v>066</v>
      </c>
      <c r="C771" t="str">
        <f t="shared" si="248"/>
        <v>3010106</v>
      </c>
      <c r="D771" t="str">
        <f t="shared" si="249"/>
        <v>03</v>
      </c>
      <c r="E771" t="str">
        <f t="shared" si="253"/>
        <v>644510</v>
      </c>
      <c r="F771" t="str">
        <f>"05/31/14"</f>
        <v>05/31/14</v>
      </c>
      <c r="G771" t="str">
        <f>"1466SXA0356"</f>
        <v>1466SXA0356</v>
      </c>
      <c r="H771" s="4">
        <v>1497.52</v>
      </c>
      <c r="I771" s="3"/>
      <c r="J771" t="str">
        <f t="shared" si="251"/>
        <v>NEW ENGLAND GAS CO</v>
      </c>
      <c r="K771" t="str">
        <f>""</f>
        <v/>
      </c>
      <c r="L771" s="2" t="str">
        <f>"ACCT: 14688-43022; METER: 54792216 - APR 2014 MONTHLY GAS CONSUMPTION PAYMENT FOR 180 SOUTH MAIN STREETINV:"</f>
        <v>ACCT: 14688-43022; METER: 54792216 - APR 2014 MONTHLY GAS CONSUMPTION PAYMENT FOR 180 SOUTH MAIN STREETINV:</v>
      </c>
      <c r="M771" t="str">
        <f t="shared" si="252"/>
        <v>SVALLANT</v>
      </c>
    </row>
    <row r="772" spans="1:13" ht="30" x14ac:dyDescent="0.25">
      <c r="A772" t="str">
        <f t="shared" si="246"/>
        <v>10</v>
      </c>
      <c r="B772" t="str">
        <f t="shared" si="247"/>
        <v>066</v>
      </c>
      <c r="C772" t="str">
        <f t="shared" si="248"/>
        <v>3010106</v>
      </c>
      <c r="D772" t="str">
        <f t="shared" si="249"/>
        <v>03</v>
      </c>
      <c r="E772" t="str">
        <f t="shared" si="253"/>
        <v>644510</v>
      </c>
      <c r="F772" t="str">
        <f>"05/31/16"</f>
        <v>05/31/16</v>
      </c>
      <c r="G772" t="str">
        <f>"1666SXA0301"</f>
        <v>1666SXA0301</v>
      </c>
      <c r="H772" s="4">
        <v>5260.64</v>
      </c>
      <c r="I772" s="3"/>
      <c r="J772" t="str">
        <f t="shared" si="251"/>
        <v>NEW ENGLAND GAS CO</v>
      </c>
      <c r="K772" t="str">
        <f>""</f>
        <v/>
      </c>
      <c r="L772" s="2" t="str">
        <f>"ACCT: 14688-43022; METER: 54792216 - APR 2016 MONTHLY ELECTRICITY PAYMENT AT 180 SOUTH MAIN STREET"</f>
        <v>ACCT: 14688-43022; METER: 54792216 - APR 2016 MONTHLY ELECTRICITY PAYMENT AT 180 SOUTH MAIN STREET</v>
      </c>
      <c r="M772" t="str">
        <f t="shared" si="252"/>
        <v>SVALLANT</v>
      </c>
    </row>
    <row r="773" spans="1:13" ht="30" x14ac:dyDescent="0.25">
      <c r="A773" t="str">
        <f t="shared" si="246"/>
        <v>10</v>
      </c>
      <c r="B773" t="str">
        <f t="shared" si="247"/>
        <v>066</v>
      </c>
      <c r="C773" t="str">
        <f t="shared" si="248"/>
        <v>3010106</v>
      </c>
      <c r="D773" t="str">
        <f t="shared" si="249"/>
        <v>03</v>
      </c>
      <c r="E773" t="str">
        <f t="shared" si="253"/>
        <v>644510</v>
      </c>
      <c r="F773" t="str">
        <f>"06/30/14"</f>
        <v>06/30/14</v>
      </c>
      <c r="G773" t="str">
        <f>"1466SXA0402"</f>
        <v>1466SXA0402</v>
      </c>
      <c r="H773" s="4">
        <v>1543.37</v>
      </c>
      <c r="I773" s="3"/>
      <c r="J773" t="str">
        <f t="shared" si="251"/>
        <v>NEW ENGLAND GAS CO</v>
      </c>
      <c r="K773" t="str">
        <f>""</f>
        <v/>
      </c>
      <c r="L773" s="2" t="str">
        <f>"ACCT: 14688-43022; METER: 54792216 - MAY 2014 MONTHLY ELECTRIC BILL FOR 180 SOUTH MAIN STREET"</f>
        <v>ACCT: 14688-43022; METER: 54792216 - MAY 2014 MONTHLY ELECTRIC BILL FOR 180 SOUTH MAIN STREET</v>
      </c>
      <c r="M773" t="str">
        <f t="shared" si="252"/>
        <v>SVALLANT</v>
      </c>
    </row>
    <row r="774" spans="1:13" ht="30" x14ac:dyDescent="0.25">
      <c r="A774" t="str">
        <f t="shared" si="246"/>
        <v>10</v>
      </c>
      <c r="B774" t="str">
        <f t="shared" si="247"/>
        <v>066</v>
      </c>
      <c r="C774" t="str">
        <f t="shared" si="248"/>
        <v>3010106</v>
      </c>
      <c r="D774" t="str">
        <f t="shared" si="249"/>
        <v>03</v>
      </c>
      <c r="E774" t="str">
        <f t="shared" si="253"/>
        <v>644510</v>
      </c>
      <c r="F774" t="str">
        <f>"06/30/16"</f>
        <v>06/30/16</v>
      </c>
      <c r="G774" t="str">
        <f>"1666SXA0333"</f>
        <v>1666SXA0333</v>
      </c>
      <c r="H774" s="4">
        <v>5345.32</v>
      </c>
      <c r="I774" s="3"/>
      <c r="J774" t="str">
        <f t="shared" si="251"/>
        <v>NEW ENGLAND GAS CO</v>
      </c>
      <c r="K774" t="str">
        <f>""</f>
        <v/>
      </c>
      <c r="L774" s="2" t="str">
        <f>"ACCT: 14688-43022; METER: 54792216 - MAY 2016 MONTHLY ELECTRIC PAYMENT FOR 180 SOUTH MAIN STREET"</f>
        <v>ACCT: 14688-43022; METER: 54792216 - MAY 2016 MONTHLY ELECTRIC PAYMENT FOR 180 SOUTH MAIN STREET</v>
      </c>
      <c r="M774" t="str">
        <f t="shared" si="252"/>
        <v>SVALLANT</v>
      </c>
    </row>
    <row r="775" spans="1:13" ht="30" x14ac:dyDescent="0.25">
      <c r="A775" t="str">
        <f t="shared" si="246"/>
        <v>10</v>
      </c>
      <c r="B775" t="str">
        <f t="shared" si="247"/>
        <v>066</v>
      </c>
      <c r="C775" t="str">
        <f t="shared" si="248"/>
        <v>3010106</v>
      </c>
      <c r="D775" t="str">
        <f t="shared" si="249"/>
        <v>03</v>
      </c>
      <c r="E775" t="str">
        <f t="shared" si="253"/>
        <v>644510</v>
      </c>
      <c r="F775" t="str">
        <f>"06/30/16"</f>
        <v>06/30/16</v>
      </c>
      <c r="G775" t="str">
        <f>"1666SXA0366"</f>
        <v>1666SXA0366</v>
      </c>
      <c r="H775" s="4">
        <v>5800.19</v>
      </c>
      <c r="I775" s="3"/>
      <c r="J775" t="str">
        <f t="shared" si="251"/>
        <v>NEW ENGLAND GAS CO</v>
      </c>
      <c r="K775" t="str">
        <f>""</f>
        <v/>
      </c>
      <c r="L775" s="2" t="str">
        <f>"ACCT: 14688-43022; METER: 54792216 - JUN 2016 MONTHLY ELECTRIC PAYMENT FOR 180 SOUTH MAIN STREET BUILDING"</f>
        <v>ACCT: 14688-43022; METER: 54792216 - JUN 2016 MONTHLY ELECTRIC PAYMENT FOR 180 SOUTH MAIN STREET BUILDING</v>
      </c>
      <c r="M775" t="str">
        <f t="shared" si="252"/>
        <v>SVALLANT</v>
      </c>
    </row>
    <row r="776" spans="1:13" ht="30" x14ac:dyDescent="0.25">
      <c r="A776" t="str">
        <f t="shared" si="246"/>
        <v>10</v>
      </c>
      <c r="B776" t="str">
        <f t="shared" si="247"/>
        <v>066</v>
      </c>
      <c r="C776" t="str">
        <f t="shared" si="248"/>
        <v>3010106</v>
      </c>
      <c r="D776" t="str">
        <f t="shared" si="249"/>
        <v>03</v>
      </c>
      <c r="E776" t="str">
        <f t="shared" si="253"/>
        <v>644510</v>
      </c>
      <c r="F776" t="str">
        <f>"07/31/14"</f>
        <v>07/31/14</v>
      </c>
      <c r="G776" t="str">
        <f>"1566SXA0006"</f>
        <v>1566SXA0006</v>
      </c>
      <c r="H776" s="4">
        <v>2285.87</v>
      </c>
      <c r="I776" s="3"/>
      <c r="J776" t="str">
        <f t="shared" si="251"/>
        <v>NEW ENGLAND GAS CO</v>
      </c>
      <c r="K776" t="str">
        <f>""</f>
        <v/>
      </c>
      <c r="L776" s="2" t="str">
        <f>"ACCT: 14688-43022; METER: 54792216: JUN 2014 MONTHLY ELECTRIC PAYMENT FOR 180 SOUTH MAIN STREET"</f>
        <v>ACCT: 14688-43022; METER: 54792216: JUN 2014 MONTHLY ELECTRIC PAYMENT FOR 180 SOUTH MAIN STREET</v>
      </c>
      <c r="M776" t="str">
        <f t="shared" si="252"/>
        <v>SVALLANT</v>
      </c>
    </row>
    <row r="777" spans="1:13" ht="30" x14ac:dyDescent="0.25">
      <c r="A777" t="str">
        <f t="shared" si="246"/>
        <v>10</v>
      </c>
      <c r="B777" t="str">
        <f t="shared" si="247"/>
        <v>066</v>
      </c>
      <c r="C777" t="str">
        <f t="shared" si="248"/>
        <v>3010106</v>
      </c>
      <c r="D777" t="str">
        <f t="shared" si="249"/>
        <v>03</v>
      </c>
      <c r="E777" t="str">
        <f t="shared" si="253"/>
        <v>644510</v>
      </c>
      <c r="F777" t="str">
        <f>"08/31/15"</f>
        <v>08/31/15</v>
      </c>
      <c r="G777" t="str">
        <f>"1666SXA0012"</f>
        <v>1666SXA0012</v>
      </c>
      <c r="H777" s="4">
        <v>6550.17</v>
      </c>
      <c r="I777" s="3"/>
      <c r="J777" t="str">
        <f t="shared" si="251"/>
        <v>NEW ENGLAND GAS CO</v>
      </c>
      <c r="K777" t="str">
        <f>""</f>
        <v/>
      </c>
      <c r="L777" s="2" t="str">
        <f>"ACCT: 14688-43022; METER: 54792216 - JUL 2015 MONTHLY ELECTRICAL PAYMENT FOR 180 SOUTH MAIN STREET BUILDING"</f>
        <v>ACCT: 14688-43022; METER: 54792216 - JUL 2015 MONTHLY ELECTRICAL PAYMENT FOR 180 SOUTH MAIN STREET BUILDING</v>
      </c>
      <c r="M777" t="str">
        <f t="shared" si="252"/>
        <v>SVALLANT</v>
      </c>
    </row>
    <row r="778" spans="1:13" ht="30" x14ac:dyDescent="0.25">
      <c r="A778" t="str">
        <f t="shared" si="246"/>
        <v>10</v>
      </c>
      <c r="B778" t="str">
        <f t="shared" si="247"/>
        <v>066</v>
      </c>
      <c r="C778" t="str">
        <f t="shared" si="248"/>
        <v>3010106</v>
      </c>
      <c r="D778" t="str">
        <f t="shared" si="249"/>
        <v>03</v>
      </c>
      <c r="E778" t="str">
        <f t="shared" si="253"/>
        <v>644510</v>
      </c>
      <c r="F778" t="str">
        <f>"10/31/15"</f>
        <v>10/31/15</v>
      </c>
      <c r="G778" t="str">
        <f>"1666SXA0089"</f>
        <v>1666SXA0089</v>
      </c>
      <c r="H778" s="4">
        <v>5901.58</v>
      </c>
      <c r="I778" s="3"/>
      <c r="J778" t="str">
        <f t="shared" si="251"/>
        <v>NEW ENGLAND GAS CO</v>
      </c>
      <c r="K778" t="str">
        <f>""</f>
        <v/>
      </c>
      <c r="L778" s="2" t="str">
        <f>"ACCT: 14688-43022; METER: 54792216- SEPT 2015 MONTHLY ELECTRIC PAYMENT FOR 180 SOUTH MAIN STREET"</f>
        <v>ACCT: 14688-43022; METER: 54792216- SEPT 2015 MONTHLY ELECTRIC PAYMENT FOR 180 SOUTH MAIN STREET</v>
      </c>
      <c r="M778" t="str">
        <f t="shared" si="252"/>
        <v>SVALLANT</v>
      </c>
    </row>
    <row r="779" spans="1:13" ht="30" x14ac:dyDescent="0.25">
      <c r="A779" t="str">
        <f t="shared" si="246"/>
        <v>10</v>
      </c>
      <c r="B779" t="str">
        <f t="shared" si="247"/>
        <v>066</v>
      </c>
      <c r="C779" t="str">
        <f t="shared" si="248"/>
        <v>3010106</v>
      </c>
      <c r="D779" t="str">
        <f t="shared" si="249"/>
        <v>03</v>
      </c>
      <c r="E779" t="str">
        <f t="shared" si="253"/>
        <v>644510</v>
      </c>
      <c r="F779" t="str">
        <f>"11/30/15"</f>
        <v>11/30/15</v>
      </c>
      <c r="G779" t="str">
        <f>"1666SXA0120"</f>
        <v>1666SXA0120</v>
      </c>
      <c r="H779" s="4">
        <v>5353.7</v>
      </c>
      <c r="I779" s="3"/>
      <c r="J779" t="str">
        <f t="shared" si="251"/>
        <v>NEW ENGLAND GAS CO</v>
      </c>
      <c r="K779" t="str">
        <f>""</f>
        <v/>
      </c>
      <c r="L779" s="2" t="str">
        <f>"ACCT: 14688-43022; METER: 54792216 - OCT 2015 MONTHLY ELECTRIC PAYMENT FOR 180 SOUTH MAIN STREET BUILDING"</f>
        <v>ACCT: 14688-43022; METER: 54792216 - OCT 2015 MONTHLY ELECTRIC PAYMENT FOR 180 SOUTH MAIN STREET BUILDING</v>
      </c>
      <c r="M779" t="str">
        <f t="shared" si="252"/>
        <v>SVALLANT</v>
      </c>
    </row>
    <row r="780" spans="1:13" ht="30" x14ac:dyDescent="0.25">
      <c r="A780" t="str">
        <f t="shared" si="246"/>
        <v>10</v>
      </c>
      <c r="B780" t="str">
        <f t="shared" si="247"/>
        <v>066</v>
      </c>
      <c r="C780" t="str">
        <f t="shared" si="248"/>
        <v>3010106</v>
      </c>
      <c r="D780" t="str">
        <f t="shared" si="249"/>
        <v>03</v>
      </c>
      <c r="E780" t="str">
        <f t="shared" ref="E780:E791" si="254">"644521"</f>
        <v>644521</v>
      </c>
      <c r="F780" t="str">
        <f>"01/31/16"</f>
        <v>01/31/16</v>
      </c>
      <c r="G780" t="str">
        <f>"1666SXA0185"</f>
        <v>1666SXA0185</v>
      </c>
      <c r="H780" s="4">
        <v>6763.98</v>
      </c>
      <c r="I780" s="3"/>
      <c r="J780" t="str">
        <f t="shared" si="251"/>
        <v>NEW ENGLAND GAS CO</v>
      </c>
      <c r="K780" t="str">
        <f>""</f>
        <v/>
      </c>
      <c r="L780" s="2" t="str">
        <f>"ACCT: 14688-43022; METER: 54792216 - DEC 2015 MONTHLY ELECTRIC PAYMENT FOR 180 SOUTH MAIN STREET BUILDING"</f>
        <v>ACCT: 14688-43022; METER: 54792216 - DEC 2015 MONTHLY ELECTRIC PAYMENT FOR 180 SOUTH MAIN STREET BUILDING</v>
      </c>
      <c r="M780" t="str">
        <f t="shared" si="252"/>
        <v>SVALLANT</v>
      </c>
    </row>
    <row r="781" spans="1:13" ht="30" x14ac:dyDescent="0.25">
      <c r="A781" t="str">
        <f t="shared" si="246"/>
        <v>10</v>
      </c>
      <c r="B781" t="str">
        <f t="shared" si="247"/>
        <v>066</v>
      </c>
      <c r="C781" t="str">
        <f t="shared" si="248"/>
        <v>3010106</v>
      </c>
      <c r="D781" t="str">
        <f t="shared" si="249"/>
        <v>03</v>
      </c>
      <c r="E781" t="str">
        <f t="shared" si="254"/>
        <v>644521</v>
      </c>
      <c r="F781" t="str">
        <f>"03/31/14"</f>
        <v>03/31/14</v>
      </c>
      <c r="G781" t="str">
        <f>"1466SXA0286"</f>
        <v>1466SXA0286</v>
      </c>
      <c r="H781" s="4">
        <v>1516.68</v>
      </c>
      <c r="I781" s="3"/>
      <c r="J781" t="str">
        <f t="shared" si="251"/>
        <v>NEW ENGLAND GAS CO</v>
      </c>
      <c r="K781" t="str">
        <f>""</f>
        <v/>
      </c>
      <c r="L781" s="2" t="str">
        <f>"ACCT: 14688-43022; METER: 54792216 - FEB 2014 MONTHLY ELECTRIC PAYMENT FOR 180 SOUTH MAIN"</f>
        <v>ACCT: 14688-43022; METER: 54792216 - FEB 2014 MONTHLY ELECTRIC PAYMENT FOR 180 SOUTH MAIN</v>
      </c>
      <c r="M781" t="str">
        <f t="shared" si="252"/>
        <v>SVALLANT</v>
      </c>
    </row>
    <row r="782" spans="1:13" ht="30" x14ac:dyDescent="0.25">
      <c r="A782" t="str">
        <f t="shared" si="246"/>
        <v>10</v>
      </c>
      <c r="B782" t="str">
        <f t="shared" si="247"/>
        <v>066</v>
      </c>
      <c r="C782" t="str">
        <f t="shared" si="248"/>
        <v>3010106</v>
      </c>
      <c r="D782" t="str">
        <f t="shared" si="249"/>
        <v>03</v>
      </c>
      <c r="E782" t="str">
        <f t="shared" si="254"/>
        <v>644521</v>
      </c>
      <c r="F782" t="str">
        <f>"03/31/16"</f>
        <v>03/31/16</v>
      </c>
      <c r="G782" t="str">
        <f>"1666SXA0242"</f>
        <v>1666SXA0242</v>
      </c>
      <c r="H782" s="4">
        <v>6783.33</v>
      </c>
      <c r="I782" s="3"/>
      <c r="J782" t="str">
        <f t="shared" si="251"/>
        <v>NEW ENGLAND GAS CO</v>
      </c>
      <c r="K782" t="str">
        <f>""</f>
        <v/>
      </c>
      <c r="L782" s="2" t="str">
        <f>"ACCT: 14688-43022; METER: 54792216 - FEB 2016 MONTHLY ELECTRICITY PAYMENT FOR 180 SOUTH MAIN STREET BUILDING"</f>
        <v>ACCT: 14688-43022; METER: 54792216 - FEB 2016 MONTHLY ELECTRICITY PAYMENT FOR 180 SOUTH MAIN STREET BUILDING</v>
      </c>
      <c r="M782" t="str">
        <f t="shared" si="252"/>
        <v>SVALLANT</v>
      </c>
    </row>
    <row r="783" spans="1:13" x14ac:dyDescent="0.25">
      <c r="A783" t="str">
        <f t="shared" si="246"/>
        <v>10</v>
      </c>
      <c r="B783" t="str">
        <f t="shared" si="247"/>
        <v>066</v>
      </c>
      <c r="C783" t="str">
        <f t="shared" si="248"/>
        <v>3010106</v>
      </c>
      <c r="D783" t="str">
        <f t="shared" si="249"/>
        <v>03</v>
      </c>
      <c r="E783" t="str">
        <f t="shared" si="254"/>
        <v>644521</v>
      </c>
      <c r="F783" t="str">
        <f>"05/31/15"</f>
        <v>05/31/15</v>
      </c>
      <c r="G783" t="str">
        <f>"1566SXA0326"</f>
        <v>1566SXA0326</v>
      </c>
      <c r="H783" s="4">
        <v>2251.14</v>
      </c>
      <c r="I783" s="3"/>
      <c r="J783" t="str">
        <f t="shared" si="251"/>
        <v>NEW ENGLAND GAS CO</v>
      </c>
      <c r="K783" t="str">
        <f>""</f>
        <v/>
      </c>
      <c r="L783" s="2" t="str">
        <f>"ACCT: 14688-43022; APR 2015 MONTHLY ELECTRIC PAYMENT FOR 180 SOUTH MAIN STREET"</f>
        <v>ACCT: 14688-43022; APR 2015 MONTHLY ELECTRIC PAYMENT FOR 180 SOUTH MAIN STREET</v>
      </c>
      <c r="M783" t="str">
        <f t="shared" si="252"/>
        <v>SVALLANT</v>
      </c>
    </row>
    <row r="784" spans="1:13" ht="30" x14ac:dyDescent="0.25">
      <c r="A784" t="str">
        <f t="shared" si="246"/>
        <v>10</v>
      </c>
      <c r="B784" t="str">
        <f t="shared" si="247"/>
        <v>066</v>
      </c>
      <c r="C784" t="str">
        <f t="shared" si="248"/>
        <v>3010106</v>
      </c>
      <c r="D784" t="str">
        <f t="shared" si="249"/>
        <v>03</v>
      </c>
      <c r="E784" t="str">
        <f t="shared" si="254"/>
        <v>644521</v>
      </c>
      <c r="F784" t="str">
        <f>"06/30/15"</f>
        <v>06/30/15</v>
      </c>
      <c r="G784" t="str">
        <f>"1566SXA0382"</f>
        <v>1566SXA0382</v>
      </c>
      <c r="H784" s="4">
        <v>3193.6</v>
      </c>
      <c r="I784" s="3"/>
      <c r="J784" t="str">
        <f t="shared" si="251"/>
        <v>NEW ENGLAND GAS CO</v>
      </c>
      <c r="K784" t="str">
        <f>""</f>
        <v/>
      </c>
      <c r="L784" s="2" t="str">
        <f>"ACCT: 14688-43022; METER 54792216 - MAY 2015 MONTHLY ELECTRIC PAYMENT FOR 180 SOUTH MAIN STREET BUILDING"</f>
        <v>ACCT: 14688-43022; METER 54792216 - MAY 2015 MONTHLY ELECTRIC PAYMENT FOR 180 SOUTH MAIN STREET BUILDING</v>
      </c>
      <c r="M784" t="str">
        <f t="shared" si="252"/>
        <v>SVALLANT</v>
      </c>
    </row>
    <row r="785" spans="1:13" ht="30" x14ac:dyDescent="0.25">
      <c r="A785" t="str">
        <f t="shared" si="246"/>
        <v>10</v>
      </c>
      <c r="B785" t="str">
        <f t="shared" si="247"/>
        <v>066</v>
      </c>
      <c r="C785" t="str">
        <f t="shared" si="248"/>
        <v>3010106</v>
      </c>
      <c r="D785" t="str">
        <f t="shared" si="249"/>
        <v>03</v>
      </c>
      <c r="E785" t="str">
        <f t="shared" si="254"/>
        <v>644521</v>
      </c>
      <c r="F785" t="str">
        <f>"06/30/15"</f>
        <v>06/30/15</v>
      </c>
      <c r="G785" t="str">
        <f>"1566SXA0411A"</f>
        <v>1566SXA0411A</v>
      </c>
      <c r="H785" s="4">
        <v>4191.3500000000004</v>
      </c>
      <c r="I785" s="3"/>
      <c r="J785" t="str">
        <f t="shared" si="251"/>
        <v>NEW ENGLAND GAS CO</v>
      </c>
      <c r="K785" t="str">
        <f>""</f>
        <v/>
      </c>
      <c r="L785" s="2" t="str">
        <f>"ACCT: 14688-43022; METER: 54792216 - JUN 2015 MONTHLY ELECTRIC PAYMENT FOR 180 SOUTH MAIN STREET BUILDING30-JUN-2015"</f>
        <v>ACCT: 14688-43022; METER: 54792216 - JUN 2015 MONTHLY ELECTRIC PAYMENT FOR 180 SOUTH MAIN STREET BUILDING30-JUN-2015</v>
      </c>
      <c r="M785" t="str">
        <f t="shared" si="252"/>
        <v>SVALLANT</v>
      </c>
    </row>
    <row r="786" spans="1:13" ht="30" x14ac:dyDescent="0.25">
      <c r="A786" t="str">
        <f t="shared" si="246"/>
        <v>10</v>
      </c>
      <c r="B786" t="str">
        <f t="shared" si="247"/>
        <v>066</v>
      </c>
      <c r="C786" t="str">
        <f t="shared" si="248"/>
        <v>3010106</v>
      </c>
      <c r="D786" t="str">
        <f t="shared" si="249"/>
        <v>03</v>
      </c>
      <c r="E786" t="str">
        <f t="shared" si="254"/>
        <v>644521</v>
      </c>
      <c r="F786" t="str">
        <f>"09/30/14"</f>
        <v>09/30/14</v>
      </c>
      <c r="G786" t="str">
        <f>"1566SXA0061"</f>
        <v>1566SXA0061</v>
      </c>
      <c r="H786" s="4">
        <v>3924.75</v>
      </c>
      <c r="I786" s="3"/>
      <c r="J786" t="str">
        <f t="shared" si="251"/>
        <v>NEW ENGLAND GAS CO</v>
      </c>
      <c r="K786" t="str">
        <f>""</f>
        <v/>
      </c>
      <c r="L786" s="2" t="str">
        <f>"ACCT: 14688-43022; METER: 54792216 - JUL 2014 MONTHLY ELECTRIC PAYMENT FOR 180 SOUTH MAIN STREET"</f>
        <v>ACCT: 14688-43022; METER: 54792216 - JUL 2014 MONTHLY ELECTRIC PAYMENT FOR 180 SOUTH MAIN STREET</v>
      </c>
      <c r="M786" t="str">
        <f t="shared" si="252"/>
        <v>SVALLANT</v>
      </c>
    </row>
    <row r="787" spans="1:13" ht="30" x14ac:dyDescent="0.25">
      <c r="A787" t="str">
        <f t="shared" si="246"/>
        <v>10</v>
      </c>
      <c r="B787" t="str">
        <f t="shared" si="247"/>
        <v>066</v>
      </c>
      <c r="C787" t="str">
        <f t="shared" si="248"/>
        <v>3010106</v>
      </c>
      <c r="D787" t="str">
        <f t="shared" si="249"/>
        <v>03</v>
      </c>
      <c r="E787" t="str">
        <f t="shared" si="254"/>
        <v>644521</v>
      </c>
      <c r="F787" t="str">
        <f>"09/30/14"</f>
        <v>09/30/14</v>
      </c>
      <c r="G787" t="str">
        <f>"1566SXA0062"</f>
        <v>1566SXA0062</v>
      </c>
      <c r="H787" s="4">
        <v>3649.04</v>
      </c>
      <c r="I787" s="3"/>
      <c r="J787" t="str">
        <f t="shared" si="251"/>
        <v>NEW ENGLAND GAS CO</v>
      </c>
      <c r="K787" t="str">
        <f>""</f>
        <v/>
      </c>
      <c r="L787" s="2" t="str">
        <f>"ACCT: 14688-43022; METER: 54792216 - AUG 2014 MONTHLY ELECTRIC PAYMENT FOR 180 SOUTH MAIN STREET"</f>
        <v>ACCT: 14688-43022; METER: 54792216 - AUG 2014 MONTHLY ELECTRIC PAYMENT FOR 180 SOUTH MAIN STREET</v>
      </c>
      <c r="M787" t="str">
        <f t="shared" si="252"/>
        <v>SVALLANT</v>
      </c>
    </row>
    <row r="788" spans="1:13" ht="30" x14ac:dyDescent="0.25">
      <c r="A788" t="str">
        <f t="shared" si="246"/>
        <v>10</v>
      </c>
      <c r="B788" t="str">
        <f t="shared" si="247"/>
        <v>066</v>
      </c>
      <c r="C788" t="str">
        <f t="shared" si="248"/>
        <v>3010106</v>
      </c>
      <c r="D788" t="str">
        <f t="shared" si="249"/>
        <v>03</v>
      </c>
      <c r="E788" t="str">
        <f t="shared" si="254"/>
        <v>644521</v>
      </c>
      <c r="F788" t="str">
        <f>"09/30/15"</f>
        <v>09/30/15</v>
      </c>
      <c r="G788" t="str">
        <f>"1666SXA0056"</f>
        <v>1666SXA0056</v>
      </c>
      <c r="H788" s="4">
        <v>7413.21</v>
      </c>
      <c r="I788" s="3"/>
      <c r="J788" t="str">
        <f t="shared" si="251"/>
        <v>NEW ENGLAND GAS CO</v>
      </c>
      <c r="K788" t="str">
        <f>""</f>
        <v/>
      </c>
      <c r="L788" s="2" t="str">
        <f>"ACCT: 14688-43022; METER: 54792216 - AUG 2015 MONTHLY ELECTRIC PAYMENT FOR 180 SOUTH MAIN STREET"</f>
        <v>ACCT: 14688-43022; METER: 54792216 - AUG 2015 MONTHLY ELECTRIC PAYMENT FOR 180 SOUTH MAIN STREET</v>
      </c>
      <c r="M788" t="str">
        <f t="shared" si="252"/>
        <v>SVALLANT</v>
      </c>
    </row>
    <row r="789" spans="1:13" ht="30" x14ac:dyDescent="0.25">
      <c r="A789" t="str">
        <f t="shared" si="246"/>
        <v>10</v>
      </c>
      <c r="B789" t="str">
        <f t="shared" si="247"/>
        <v>066</v>
      </c>
      <c r="C789" t="str">
        <f t="shared" si="248"/>
        <v>3010106</v>
      </c>
      <c r="D789" t="str">
        <f t="shared" si="249"/>
        <v>03</v>
      </c>
      <c r="E789" t="str">
        <f t="shared" si="254"/>
        <v>644521</v>
      </c>
      <c r="F789" t="str">
        <f>"11/30/14"</f>
        <v>11/30/14</v>
      </c>
      <c r="G789" t="str">
        <f>"1566SXA0126"</f>
        <v>1566SXA0126</v>
      </c>
      <c r="H789" s="4">
        <v>2999.41</v>
      </c>
      <c r="I789" s="3"/>
      <c r="J789" t="str">
        <f t="shared" si="251"/>
        <v>NEW ENGLAND GAS CO</v>
      </c>
      <c r="K789" t="str">
        <f>""</f>
        <v/>
      </c>
      <c r="L789" s="2" t="str">
        <f>"ACCT: 14688-43022; METER: 54792216 - OCT 2014 MONTHLY ELECTRIC PAYMENT FOR 180 SOUTH MAIN STREET"</f>
        <v>ACCT: 14688-43022; METER: 54792216 - OCT 2014 MONTHLY ELECTRIC PAYMENT FOR 180 SOUTH MAIN STREET</v>
      </c>
      <c r="M789" t="str">
        <f t="shared" si="252"/>
        <v>SVALLANT</v>
      </c>
    </row>
    <row r="790" spans="1:13" ht="30" x14ac:dyDescent="0.25">
      <c r="A790" t="str">
        <f t="shared" si="246"/>
        <v>10</v>
      </c>
      <c r="B790" t="str">
        <f t="shared" si="247"/>
        <v>066</v>
      </c>
      <c r="C790" t="str">
        <f t="shared" si="248"/>
        <v>3010106</v>
      </c>
      <c r="D790" t="str">
        <f t="shared" si="249"/>
        <v>03</v>
      </c>
      <c r="E790" t="str">
        <f t="shared" si="254"/>
        <v>644521</v>
      </c>
      <c r="F790" t="str">
        <f>"12/31/14"</f>
        <v>12/31/14</v>
      </c>
      <c r="G790" t="str">
        <f>"1566SXA0158"</f>
        <v>1566SXA0158</v>
      </c>
      <c r="H790" s="4">
        <v>2659.08</v>
      </c>
      <c r="I790" s="3"/>
      <c r="J790" t="str">
        <f t="shared" si="251"/>
        <v>NEW ENGLAND GAS CO</v>
      </c>
      <c r="K790" t="str">
        <f>""</f>
        <v/>
      </c>
      <c r="L790" s="2" t="str">
        <f>"ACCT: 14688-43022; METER: 54792216 - 10/30/14-12/2/14 ELECTRIC PAYMENT FOR 180 SOUTH MAIN STREET BUILDING"</f>
        <v>ACCT: 14688-43022; METER: 54792216 - 10/30/14-12/2/14 ELECTRIC PAYMENT FOR 180 SOUTH MAIN STREET BUILDING</v>
      </c>
      <c r="M790" t="str">
        <f t="shared" si="252"/>
        <v>SVALLANT</v>
      </c>
    </row>
    <row r="791" spans="1:13" ht="30" x14ac:dyDescent="0.25">
      <c r="A791" t="str">
        <f t="shared" si="246"/>
        <v>10</v>
      </c>
      <c r="B791" t="str">
        <f t="shared" si="247"/>
        <v>066</v>
      </c>
      <c r="C791" t="str">
        <f t="shared" si="248"/>
        <v>3010106</v>
      </c>
      <c r="D791" t="str">
        <f t="shared" si="249"/>
        <v>03</v>
      </c>
      <c r="E791" t="str">
        <f t="shared" si="254"/>
        <v>644521</v>
      </c>
      <c r="F791" t="str">
        <f>"12/31/15"</f>
        <v>12/31/15</v>
      </c>
      <c r="G791" t="str">
        <f>"1666SXA0147"</f>
        <v>1666SXA0147</v>
      </c>
      <c r="H791" s="4">
        <v>5926.78</v>
      </c>
      <c r="I791" s="3"/>
      <c r="J791" t="str">
        <f t="shared" si="251"/>
        <v>NEW ENGLAND GAS CO</v>
      </c>
      <c r="K791" t="str">
        <f>""</f>
        <v/>
      </c>
      <c r="L791" s="2" t="str">
        <f>"ACCT: 14688-43022; METER: 54792216 - NOV 2015 MONTHLY ELECTRIC PAYMENT FOR 180 SOUTH MAIN STREET BUILDING"</f>
        <v>ACCT: 14688-43022; METER: 54792216 - NOV 2015 MONTHLY ELECTRIC PAYMENT FOR 180 SOUTH MAIN STREET BUILDING</v>
      </c>
      <c r="M791" t="str">
        <f t="shared" si="252"/>
        <v>SVALLANT</v>
      </c>
    </row>
    <row r="792" spans="1:13" x14ac:dyDescent="0.25">
      <c r="A792" t="str">
        <f t="shared" si="246"/>
        <v>10</v>
      </c>
      <c r="B792" t="str">
        <f t="shared" si="247"/>
        <v>066</v>
      </c>
      <c r="C792" t="str">
        <f t="shared" si="248"/>
        <v>3010106</v>
      </c>
      <c r="D792" t="str">
        <f t="shared" si="249"/>
        <v>03</v>
      </c>
      <c r="E792" t="str">
        <f t="shared" ref="E792:E801" si="255">"644300"</f>
        <v>644300</v>
      </c>
      <c r="F792" t="str">
        <f>"02/23/17"</f>
        <v>02/23/17</v>
      </c>
      <c r="G792" t="str">
        <f>"J17068TLB_NGRID_NATURA"</f>
        <v>J17068TLB_NGRID_NATURA</v>
      </c>
      <c r="H792" s="4">
        <v>1968.59</v>
      </c>
      <c r="I792" s="3"/>
      <c r="J792" t="str">
        <f>""</f>
        <v/>
      </c>
      <c r="K792" t="str">
        <f>""</f>
        <v/>
      </c>
      <c r="L792" s="2" t="str">
        <f>"JANUARY 2017 NATIONAL GRID NATURAL GAS PAYMENT"</f>
        <v>JANUARY 2017 NATIONAL GRID NATURAL GAS PAYMENT</v>
      </c>
      <c r="M792" t="str">
        <f t="shared" si="252"/>
        <v>SVALLANT</v>
      </c>
    </row>
    <row r="793" spans="1:13" x14ac:dyDescent="0.25">
      <c r="A793" t="str">
        <f t="shared" si="246"/>
        <v>10</v>
      </c>
      <c r="B793" t="str">
        <f t="shared" si="247"/>
        <v>066</v>
      </c>
      <c r="C793" t="str">
        <f t="shared" si="248"/>
        <v>3010106</v>
      </c>
      <c r="D793" t="str">
        <f t="shared" si="249"/>
        <v>03</v>
      </c>
      <c r="E793" t="str">
        <f t="shared" si="255"/>
        <v>644300</v>
      </c>
      <c r="F793" t="str">
        <f>"02/23/17"</f>
        <v>02/23/17</v>
      </c>
      <c r="G793" t="str">
        <f>"J17068TLB_NGRID_NATURA"</f>
        <v>J17068TLB_NGRID_NATURA</v>
      </c>
      <c r="H793" s="4">
        <v>1578.3</v>
      </c>
      <c r="I793" s="3"/>
      <c r="J793" t="str">
        <f>""</f>
        <v/>
      </c>
      <c r="K793" t="str">
        <f>""</f>
        <v/>
      </c>
      <c r="L793" s="2" t="str">
        <f>"DECEMBER 2016 NATIONAL GRID NATURAL GAS PAYMENT"</f>
        <v>DECEMBER 2016 NATIONAL GRID NATURAL GAS PAYMENT</v>
      </c>
    </row>
    <row r="794" spans="1:13" x14ac:dyDescent="0.25">
      <c r="A794" t="str">
        <f t="shared" si="246"/>
        <v>10</v>
      </c>
      <c r="B794" t="str">
        <f t="shared" si="247"/>
        <v>066</v>
      </c>
      <c r="C794" t="str">
        <f t="shared" si="248"/>
        <v>3010106</v>
      </c>
      <c r="D794" t="str">
        <f t="shared" si="249"/>
        <v>03</v>
      </c>
      <c r="E794" t="str">
        <f t="shared" si="255"/>
        <v>644300</v>
      </c>
      <c r="F794" t="str">
        <f>"03/28/17"</f>
        <v>03/28/17</v>
      </c>
      <c r="G794" t="str">
        <f>"J17068TLB_NGRID_NATURA"</f>
        <v>J17068TLB_NGRID_NATURA</v>
      </c>
      <c r="H794" s="4">
        <v>1696.24</v>
      </c>
      <c r="I794" s="3"/>
      <c r="J794" t="str">
        <f>""</f>
        <v/>
      </c>
      <c r="K794" t="str">
        <f>""</f>
        <v/>
      </c>
      <c r="L794" s="2" t="str">
        <f>"FEBRUARY 2017 NATIONAL GRID NATURAL GAS PAYMENT"</f>
        <v>FEBRUARY 2017 NATIONAL GRID NATURAL GAS PAYMENT</v>
      </c>
    </row>
    <row r="795" spans="1:13" x14ac:dyDescent="0.25">
      <c r="A795" t="str">
        <f t="shared" si="246"/>
        <v>10</v>
      </c>
      <c r="B795" t="str">
        <f t="shared" si="247"/>
        <v>066</v>
      </c>
      <c r="C795" t="str">
        <f t="shared" si="248"/>
        <v>3010106</v>
      </c>
      <c r="D795" t="str">
        <f t="shared" si="249"/>
        <v>03</v>
      </c>
      <c r="E795" t="str">
        <f t="shared" si="255"/>
        <v>644300</v>
      </c>
      <c r="F795" t="str">
        <f>"04/28/17"</f>
        <v>04/28/17</v>
      </c>
      <c r="G795" t="str">
        <f>"J17068TLB_DIRECT_NATUR"</f>
        <v>J17068TLB_DIRECT_NATUR</v>
      </c>
      <c r="H795" s="4">
        <v>950.79</v>
      </c>
      <c r="I795" s="3"/>
      <c r="J795" t="str">
        <f>""</f>
        <v/>
      </c>
      <c r="K795" t="str">
        <f>""</f>
        <v/>
      </c>
      <c r="L795" s="2" t="str">
        <f>"JANUARY - MARCH 2017 NATURAL GAS SUPPLY PAYMENT"</f>
        <v>JANUARY - MARCH 2017 NATURAL GAS SUPPLY PAYMENT</v>
      </c>
    </row>
    <row r="796" spans="1:13" x14ac:dyDescent="0.25">
      <c r="A796" t="str">
        <f t="shared" si="246"/>
        <v>10</v>
      </c>
      <c r="B796" t="str">
        <f t="shared" si="247"/>
        <v>066</v>
      </c>
      <c r="C796" t="str">
        <f t="shared" si="248"/>
        <v>3010106</v>
      </c>
      <c r="D796" t="str">
        <f t="shared" si="249"/>
        <v>03</v>
      </c>
      <c r="E796" t="str">
        <f t="shared" si="255"/>
        <v>644300</v>
      </c>
      <c r="F796" t="str">
        <f>"06/09/17"</f>
        <v>06/09/17</v>
      </c>
      <c r="G796" t="str">
        <f>"J17068TLB_DIRECT_NATUR"</f>
        <v>J17068TLB_DIRECT_NATUR</v>
      </c>
      <c r="H796" s="4">
        <v>1717.96</v>
      </c>
      <c r="I796" s="3"/>
      <c r="J796" t="str">
        <f>""</f>
        <v/>
      </c>
      <c r="K796" t="str">
        <f>""</f>
        <v/>
      </c>
      <c r="L796" s="2" t="str">
        <f>"APRIL - MAY 2017 NATURAL GAS SUPPLY PAYMENT"</f>
        <v>APRIL - MAY 2017 NATURAL GAS SUPPLY PAYMENT</v>
      </c>
    </row>
    <row r="797" spans="1:13" x14ac:dyDescent="0.25">
      <c r="A797" t="str">
        <f t="shared" ref="A797:A811" si="256">"10"</f>
        <v>10</v>
      </c>
      <c r="B797" t="str">
        <f t="shared" ref="B797:B811" si="257">"066"</f>
        <v>066</v>
      </c>
      <c r="C797" t="str">
        <f t="shared" ref="C797:C811" si="258">"3010106"</f>
        <v>3010106</v>
      </c>
      <c r="D797" t="str">
        <f t="shared" ref="D797:D811" si="259">"03"</f>
        <v>03</v>
      </c>
      <c r="E797" t="str">
        <f t="shared" si="255"/>
        <v>644300</v>
      </c>
      <c r="F797" t="str">
        <f>"06/23/17"</f>
        <v>06/23/17</v>
      </c>
      <c r="G797" t="str">
        <f>"J17068TLB_NGRID_NATURA"</f>
        <v>J17068TLB_NGRID_NATURA</v>
      </c>
      <c r="H797" s="4">
        <v>1021.18</v>
      </c>
      <c r="I797" s="3"/>
      <c r="J797" t="str">
        <f>""</f>
        <v/>
      </c>
      <c r="K797" t="str">
        <f>""</f>
        <v/>
      </c>
      <c r="L797" s="2" t="str">
        <f>"APRIL 2017 NATIONAL GRID NATURAL GAS PAYMENT"</f>
        <v>APRIL 2017 NATIONAL GRID NATURAL GAS PAYMENT</v>
      </c>
    </row>
    <row r="798" spans="1:13" x14ac:dyDescent="0.25">
      <c r="A798" t="str">
        <f t="shared" si="256"/>
        <v>10</v>
      </c>
      <c r="B798" t="str">
        <f t="shared" si="257"/>
        <v>066</v>
      </c>
      <c r="C798" t="str">
        <f t="shared" si="258"/>
        <v>3010106</v>
      </c>
      <c r="D798" t="str">
        <f t="shared" si="259"/>
        <v>03</v>
      </c>
      <c r="E798" t="str">
        <f t="shared" si="255"/>
        <v>644300</v>
      </c>
      <c r="F798" t="str">
        <f>"06/29/17"</f>
        <v>06/29/17</v>
      </c>
      <c r="G798" t="str">
        <f>"J17068TLB_DIRECT_NATUR"</f>
        <v>J17068TLB_DIRECT_NATUR</v>
      </c>
      <c r="H798" s="4">
        <v>2200.6999999999998</v>
      </c>
      <c r="I798" s="3"/>
      <c r="J798" t="str">
        <f>""</f>
        <v/>
      </c>
      <c r="K798" t="str">
        <f>""</f>
        <v/>
      </c>
      <c r="L798" s="2" t="str">
        <f>"DECEMBER - JANUARY 2017 NATURAL GAS SUPPLY PAYMENT"</f>
        <v>DECEMBER - JANUARY 2017 NATURAL GAS SUPPLY PAYMENT</v>
      </c>
    </row>
    <row r="799" spans="1:13" x14ac:dyDescent="0.25">
      <c r="A799" t="str">
        <f t="shared" si="256"/>
        <v>10</v>
      </c>
      <c r="B799" t="str">
        <f t="shared" si="257"/>
        <v>066</v>
      </c>
      <c r="C799" t="str">
        <f t="shared" si="258"/>
        <v>3010106</v>
      </c>
      <c r="D799" t="str">
        <f t="shared" si="259"/>
        <v>03</v>
      </c>
      <c r="E799" t="str">
        <f t="shared" si="255"/>
        <v>644300</v>
      </c>
      <c r="F799" t="str">
        <f>"08/23/16"</f>
        <v>08/23/16</v>
      </c>
      <c r="G799" t="str">
        <f>"J17068TLB_NGRID_NATURA"</f>
        <v>J17068TLB_NGRID_NATURA</v>
      </c>
      <c r="H799" s="4">
        <v>872.28</v>
      </c>
      <c r="I799" s="3"/>
      <c r="J799" t="str">
        <f>""</f>
        <v/>
      </c>
      <c r="K799" t="str">
        <f>""</f>
        <v/>
      </c>
      <c r="L799" s="2" t="str">
        <f>"JULY 2016 NATIONAL GRID NATURAL GAS PAYMENT"</f>
        <v>JULY 2016 NATIONAL GRID NATURAL GAS PAYMENT</v>
      </c>
    </row>
    <row r="800" spans="1:13" x14ac:dyDescent="0.25">
      <c r="A800" t="str">
        <f t="shared" si="256"/>
        <v>10</v>
      </c>
      <c r="B800" t="str">
        <f t="shared" si="257"/>
        <v>066</v>
      </c>
      <c r="C800" t="str">
        <f t="shared" si="258"/>
        <v>3010106</v>
      </c>
      <c r="D800" t="str">
        <f t="shared" si="259"/>
        <v>03</v>
      </c>
      <c r="E800" t="str">
        <f t="shared" si="255"/>
        <v>644300</v>
      </c>
      <c r="F800" t="str">
        <f>"10/25/16"</f>
        <v>10/25/16</v>
      </c>
      <c r="G800" t="str">
        <f>"J17068TLB_NGRID_NATURA"</f>
        <v>J17068TLB_NGRID_NATURA</v>
      </c>
      <c r="H800" s="4">
        <v>185.08</v>
      </c>
      <c r="I800" s="3"/>
      <c r="J800" t="str">
        <f>""</f>
        <v/>
      </c>
      <c r="K800" t="str">
        <f>""</f>
        <v/>
      </c>
      <c r="L800" s="2" t="str">
        <f>"SEPTEMBER 2016 NATIONAL GRID NATURAL GAS PAYMENT"</f>
        <v>SEPTEMBER 2016 NATIONAL GRID NATURAL GAS PAYMENT</v>
      </c>
    </row>
    <row r="801" spans="1:13" x14ac:dyDescent="0.25">
      <c r="A801" t="str">
        <f t="shared" si="256"/>
        <v>10</v>
      </c>
      <c r="B801" t="str">
        <f t="shared" si="257"/>
        <v>066</v>
      </c>
      <c r="C801" t="str">
        <f t="shared" si="258"/>
        <v>3010106</v>
      </c>
      <c r="D801" t="str">
        <f t="shared" si="259"/>
        <v>03</v>
      </c>
      <c r="E801" t="str">
        <f t="shared" si="255"/>
        <v>644300</v>
      </c>
      <c r="F801" t="str">
        <f>"12/28/16"</f>
        <v>12/28/16</v>
      </c>
      <c r="G801" t="str">
        <f>"J17068TLB_NGRID_NATURA"</f>
        <v>J17068TLB_NGRID_NATURA</v>
      </c>
      <c r="H801" s="4">
        <v>993.39</v>
      </c>
      <c r="I801" s="3"/>
      <c r="J801" t="str">
        <f>""</f>
        <v/>
      </c>
      <c r="K801" t="str">
        <f>""</f>
        <v/>
      </c>
      <c r="L801" s="2" t="str">
        <f>"NOVEMBER 2016 NATIONAL GRID NATURAL GAS PAYMENT"</f>
        <v>NOVEMBER 2016 NATIONAL GRID NATURAL GAS PAYMENT</v>
      </c>
    </row>
    <row r="802" spans="1:13" x14ac:dyDescent="0.25">
      <c r="A802" t="str">
        <f t="shared" si="256"/>
        <v>10</v>
      </c>
      <c r="B802" t="str">
        <f t="shared" si="257"/>
        <v>066</v>
      </c>
      <c r="C802" t="str">
        <f t="shared" si="258"/>
        <v>3010106</v>
      </c>
      <c r="D802" t="str">
        <f t="shared" si="259"/>
        <v>03</v>
      </c>
      <c r="E802" t="str">
        <f t="shared" ref="E802:E811" si="260">"644510"</f>
        <v>644510</v>
      </c>
      <c r="F802" t="str">
        <f>"01/31/17"</f>
        <v>01/31/17</v>
      </c>
      <c r="G802" t="str">
        <f t="shared" ref="G802:G811" si="261">"J17068TLB_NGRID_ELECTR"</f>
        <v>J17068TLB_NGRID_ELECTR</v>
      </c>
      <c r="H802" s="4">
        <v>5795.6</v>
      </c>
      <c r="I802" s="3"/>
      <c r="J802" t="str">
        <f>""</f>
        <v/>
      </c>
      <c r="K802" t="str">
        <f>""</f>
        <v/>
      </c>
      <c r="L802" s="2" t="str">
        <f>"NATIONAL GRID ELECTRICITY ALLOCATION - DECEMBER 2016"</f>
        <v>NATIONAL GRID ELECTRICITY ALLOCATION - DECEMBER 2016</v>
      </c>
    </row>
    <row r="803" spans="1:13" x14ac:dyDescent="0.25">
      <c r="A803" t="str">
        <f t="shared" si="256"/>
        <v>10</v>
      </c>
      <c r="B803" t="str">
        <f t="shared" si="257"/>
        <v>066</v>
      </c>
      <c r="C803" t="str">
        <f t="shared" si="258"/>
        <v>3010106</v>
      </c>
      <c r="D803" t="str">
        <f t="shared" si="259"/>
        <v>03</v>
      </c>
      <c r="E803" t="str">
        <f t="shared" si="260"/>
        <v>644510</v>
      </c>
      <c r="F803" t="str">
        <f>"02/24/17"</f>
        <v>02/24/17</v>
      </c>
      <c r="G803" t="str">
        <f t="shared" si="261"/>
        <v>J17068TLB_NGRID_ELECTR</v>
      </c>
      <c r="H803" s="4">
        <v>5532.68</v>
      </c>
      <c r="I803" s="3"/>
      <c r="J803" t="str">
        <f>""</f>
        <v/>
      </c>
      <c r="K803" t="str">
        <f>""</f>
        <v/>
      </c>
      <c r="L803" s="2" t="str">
        <f>"NATIONAL GRID ELECTRICITY ALLOCATION - JANUARY 2017"</f>
        <v>NATIONAL GRID ELECTRICITY ALLOCATION - JANUARY 2017</v>
      </c>
    </row>
    <row r="804" spans="1:13" x14ac:dyDescent="0.25">
      <c r="A804" t="str">
        <f t="shared" si="256"/>
        <v>10</v>
      </c>
      <c r="B804" t="str">
        <f t="shared" si="257"/>
        <v>066</v>
      </c>
      <c r="C804" t="str">
        <f t="shared" si="258"/>
        <v>3010106</v>
      </c>
      <c r="D804" t="str">
        <f t="shared" si="259"/>
        <v>03</v>
      </c>
      <c r="E804" t="str">
        <f t="shared" si="260"/>
        <v>644510</v>
      </c>
      <c r="F804" t="str">
        <f>"03/28/17"</f>
        <v>03/28/17</v>
      </c>
      <c r="G804" t="str">
        <f t="shared" si="261"/>
        <v>J17068TLB_NGRID_ELECTR</v>
      </c>
      <c r="H804" s="4">
        <v>6857.91</v>
      </c>
      <c r="I804" s="3"/>
      <c r="J804" t="str">
        <f>""</f>
        <v/>
      </c>
      <c r="K804" t="str">
        <f>""</f>
        <v/>
      </c>
      <c r="L804" s="2" t="str">
        <f>"NATIONAL GRID ELECTRICITY ALLOCATION - FEBRUARY 2017"</f>
        <v>NATIONAL GRID ELECTRICITY ALLOCATION - FEBRUARY 2017</v>
      </c>
    </row>
    <row r="805" spans="1:13" x14ac:dyDescent="0.25">
      <c r="A805" t="str">
        <f t="shared" si="256"/>
        <v>10</v>
      </c>
      <c r="B805" t="str">
        <f t="shared" si="257"/>
        <v>066</v>
      </c>
      <c r="C805" t="str">
        <f t="shared" si="258"/>
        <v>3010106</v>
      </c>
      <c r="D805" t="str">
        <f t="shared" si="259"/>
        <v>03</v>
      </c>
      <c r="E805" t="str">
        <f t="shared" si="260"/>
        <v>644510</v>
      </c>
      <c r="F805" t="str">
        <f>"04/28/17"</f>
        <v>04/28/17</v>
      </c>
      <c r="G805" t="str">
        <f t="shared" si="261"/>
        <v>J17068TLB_NGRID_ELECTR</v>
      </c>
      <c r="H805" s="4">
        <v>6480.49</v>
      </c>
      <c r="I805" s="3"/>
      <c r="J805" t="str">
        <f>""</f>
        <v/>
      </c>
      <c r="K805" t="str">
        <f>""</f>
        <v/>
      </c>
      <c r="L805" s="2" t="str">
        <f>"NATIONAL GRID ELECTRICITY ALLOCATION - MARCH 2017"</f>
        <v>NATIONAL GRID ELECTRICITY ALLOCATION - MARCH 2017</v>
      </c>
    </row>
    <row r="806" spans="1:13" x14ac:dyDescent="0.25">
      <c r="A806" t="str">
        <f t="shared" si="256"/>
        <v>10</v>
      </c>
      <c r="B806" t="str">
        <f t="shared" si="257"/>
        <v>066</v>
      </c>
      <c r="C806" t="str">
        <f t="shared" si="258"/>
        <v>3010106</v>
      </c>
      <c r="D806" t="str">
        <f t="shared" si="259"/>
        <v>03</v>
      </c>
      <c r="E806" t="str">
        <f t="shared" si="260"/>
        <v>644510</v>
      </c>
      <c r="F806" t="str">
        <f>"06/09/17"</f>
        <v>06/09/17</v>
      </c>
      <c r="G806" t="str">
        <f t="shared" si="261"/>
        <v>J17068TLB_NGRID_ELECTR</v>
      </c>
      <c r="H806" s="4">
        <v>5688.08</v>
      </c>
      <c r="I806" s="3"/>
      <c r="J806" t="str">
        <f>""</f>
        <v/>
      </c>
      <c r="K806" t="str">
        <f>""</f>
        <v/>
      </c>
      <c r="L806" s="2" t="str">
        <f>"NATIONAL GRID ELECTRICITY ALLOCATION - APRIL 2017"</f>
        <v>NATIONAL GRID ELECTRICITY ALLOCATION - APRIL 2017</v>
      </c>
    </row>
    <row r="807" spans="1:13" x14ac:dyDescent="0.25">
      <c r="A807" t="str">
        <f t="shared" si="256"/>
        <v>10</v>
      </c>
      <c r="B807" t="str">
        <f t="shared" si="257"/>
        <v>066</v>
      </c>
      <c r="C807" t="str">
        <f t="shared" si="258"/>
        <v>3010106</v>
      </c>
      <c r="D807" t="str">
        <f t="shared" si="259"/>
        <v>03</v>
      </c>
      <c r="E807" t="str">
        <f t="shared" si="260"/>
        <v>644510</v>
      </c>
      <c r="F807" t="str">
        <f>"06/23/17"</f>
        <v>06/23/17</v>
      </c>
      <c r="G807" t="str">
        <f t="shared" si="261"/>
        <v>J17068TLB_NGRID_ELECTR</v>
      </c>
      <c r="H807" s="4">
        <v>4788.42</v>
      </c>
      <c r="I807" s="3"/>
      <c r="J807" t="str">
        <f>""</f>
        <v/>
      </c>
      <c r="K807" t="str">
        <f>""</f>
        <v/>
      </c>
      <c r="L807" s="2" t="str">
        <f>"NATIONAL GRID ELECTRICITY ALLOCATION - MAY 2017"</f>
        <v>NATIONAL GRID ELECTRICITY ALLOCATION - MAY 2017</v>
      </c>
    </row>
    <row r="808" spans="1:13" x14ac:dyDescent="0.25">
      <c r="A808" t="str">
        <f t="shared" si="256"/>
        <v>10</v>
      </c>
      <c r="B808" t="str">
        <f t="shared" si="257"/>
        <v>066</v>
      </c>
      <c r="C808" t="str">
        <f t="shared" si="258"/>
        <v>3010106</v>
      </c>
      <c r="D808" t="str">
        <f t="shared" si="259"/>
        <v>03</v>
      </c>
      <c r="E808" t="str">
        <f t="shared" si="260"/>
        <v>644510</v>
      </c>
      <c r="F808" t="str">
        <f>"09/30/16"</f>
        <v>09/30/16</v>
      </c>
      <c r="G808" t="str">
        <f t="shared" si="261"/>
        <v>J17068TLB_NGRID_ELECTR</v>
      </c>
      <c r="H808" s="4">
        <v>6709.99</v>
      </c>
      <c r="I808" s="3"/>
      <c r="J808" t="str">
        <f>""</f>
        <v/>
      </c>
      <c r="K808" t="str">
        <f>""</f>
        <v/>
      </c>
      <c r="L808" s="2" t="str">
        <f>"NATIONAL GRID ELECTRICITY ALLOCATION - AUGUST 2016"</f>
        <v>NATIONAL GRID ELECTRICITY ALLOCATION - AUGUST 2016</v>
      </c>
    </row>
    <row r="809" spans="1:13" x14ac:dyDescent="0.25">
      <c r="A809" t="str">
        <f t="shared" si="256"/>
        <v>10</v>
      </c>
      <c r="B809" t="str">
        <f t="shared" si="257"/>
        <v>066</v>
      </c>
      <c r="C809" t="str">
        <f t="shared" si="258"/>
        <v>3010106</v>
      </c>
      <c r="D809" t="str">
        <f t="shared" si="259"/>
        <v>03</v>
      </c>
      <c r="E809" t="str">
        <f t="shared" si="260"/>
        <v>644510</v>
      </c>
      <c r="F809" t="str">
        <f>"10/25/16"</f>
        <v>10/25/16</v>
      </c>
      <c r="G809" t="str">
        <f t="shared" si="261"/>
        <v>J17068TLB_NGRID_ELECTR</v>
      </c>
      <c r="H809" s="4">
        <v>5977.5</v>
      </c>
      <c r="I809" s="3"/>
      <c r="J809" t="str">
        <f>""</f>
        <v/>
      </c>
      <c r="K809" t="str">
        <f>""</f>
        <v/>
      </c>
      <c r="L809" s="2" t="str">
        <f>"NATIONAL GRID ELECTRICITY ALLOCATION - SEPTEMBER 2016"</f>
        <v>NATIONAL GRID ELECTRICITY ALLOCATION - SEPTEMBER 2016</v>
      </c>
    </row>
    <row r="810" spans="1:13" x14ac:dyDescent="0.25">
      <c r="A810" t="str">
        <f t="shared" si="256"/>
        <v>10</v>
      </c>
      <c r="B810" t="str">
        <f t="shared" si="257"/>
        <v>066</v>
      </c>
      <c r="C810" t="str">
        <f t="shared" si="258"/>
        <v>3010106</v>
      </c>
      <c r="D810" t="str">
        <f t="shared" si="259"/>
        <v>03</v>
      </c>
      <c r="E810" t="str">
        <f t="shared" si="260"/>
        <v>644510</v>
      </c>
      <c r="F810" t="str">
        <f>"11/30/16"</f>
        <v>11/30/16</v>
      </c>
      <c r="G810" t="str">
        <f t="shared" si="261"/>
        <v>J17068TLB_NGRID_ELECTR</v>
      </c>
      <c r="H810" s="4">
        <v>5740.22</v>
      </c>
      <c r="I810" s="3"/>
      <c r="J810" t="str">
        <f>""</f>
        <v/>
      </c>
      <c r="K810" t="str">
        <f>""</f>
        <v/>
      </c>
      <c r="L810" s="2" t="str">
        <f>"NATIONAL GRID ELECTRICITY ALLOCATION - OCTOBER 2016"</f>
        <v>NATIONAL GRID ELECTRICITY ALLOCATION - OCTOBER 2016</v>
      </c>
    </row>
    <row r="811" spans="1:13" x14ac:dyDescent="0.25">
      <c r="A811" t="str">
        <f t="shared" si="256"/>
        <v>10</v>
      </c>
      <c r="B811" t="str">
        <f t="shared" si="257"/>
        <v>066</v>
      </c>
      <c r="C811" t="str">
        <f t="shared" si="258"/>
        <v>3010106</v>
      </c>
      <c r="D811" t="str">
        <f t="shared" si="259"/>
        <v>03</v>
      </c>
      <c r="E811" t="str">
        <f t="shared" si="260"/>
        <v>644510</v>
      </c>
      <c r="F811" t="str">
        <f>"12/28/16"</f>
        <v>12/28/16</v>
      </c>
      <c r="G811" t="str">
        <f t="shared" si="261"/>
        <v>J17068TLB_NGRID_ELECTR</v>
      </c>
      <c r="H811" s="3">
        <v>5461.37</v>
      </c>
      <c r="I811" s="3"/>
      <c r="J811" t="str">
        <f>""</f>
        <v/>
      </c>
      <c r="K811" t="str">
        <f>""</f>
        <v/>
      </c>
      <c r="L811" s="2" t="str">
        <f>"NATIONAL GRID ELECTRICITY ALLOCATION - NOVEMBER 2016"</f>
        <v>NATIONAL GRID ELECTRICITY ALLOCATION - NOVEMBER 2016</v>
      </c>
    </row>
    <row r="812" spans="1:13" x14ac:dyDescent="0.25">
      <c r="H812" s="6">
        <f>SUM(H733:H811)</f>
        <v>237052.23999999996</v>
      </c>
      <c r="I812" s="6">
        <f>SUM(H733:H811)</f>
        <v>237052.23999999996</v>
      </c>
      <c r="L812" s="2"/>
    </row>
    <row r="813" spans="1:13" x14ac:dyDescent="0.25">
      <c r="H813" s="3"/>
      <c r="I813" s="3"/>
      <c r="L813" s="2"/>
    </row>
    <row r="814" spans="1:13" x14ac:dyDescent="0.25">
      <c r="A814" t="str">
        <f t="shared" ref="A814:A854" si="262">"10"</f>
        <v>10</v>
      </c>
      <c r="B814" t="str">
        <f t="shared" ref="B814:B854" si="263">"066"</f>
        <v>066</v>
      </c>
      <c r="C814" t="str">
        <f t="shared" ref="C814:C854" si="264">"3010106"</f>
        <v>3010106</v>
      </c>
      <c r="D814" t="str">
        <f t="shared" ref="D814:D854" si="265">"03"</f>
        <v>03</v>
      </c>
      <c r="E814" t="str">
        <f t="shared" ref="E814:E854" si="266">"640100"</f>
        <v>640100</v>
      </c>
      <c r="F814" t="str">
        <f>"01/31/15"</f>
        <v>01/31/15</v>
      </c>
      <c r="G814" t="str">
        <f>"23134"</f>
        <v>23134</v>
      </c>
      <c r="H814" s="3">
        <v>92</v>
      </c>
      <c r="I814" s="3"/>
      <c r="J814" t="str">
        <f t="shared" ref="J814:J854" si="267">"NEXGEN MECHANICAL INC"</f>
        <v>NEXGEN MECHANICAL INC</v>
      </c>
      <c r="K814" t="str">
        <f>"3319398"</f>
        <v>3319398</v>
      </c>
      <c r="L814" s="2" t="str">
        <f>"MPA-136 7/1/12-12/31/14 (MEDIUM SKILL LEVEL) STRAIGHT TIME"</f>
        <v>MPA-136 7/1/12-12/31/14 (MEDIUM SKILL LEVEL) STRAIGHT TIME</v>
      </c>
    </row>
    <row r="815" spans="1:13" x14ac:dyDescent="0.25">
      <c r="A815" t="str">
        <f t="shared" si="262"/>
        <v>10</v>
      </c>
      <c r="B815" t="str">
        <f t="shared" si="263"/>
        <v>066</v>
      </c>
      <c r="C815" t="str">
        <f t="shared" si="264"/>
        <v>3010106</v>
      </c>
      <c r="D815" t="str">
        <f t="shared" si="265"/>
        <v>03</v>
      </c>
      <c r="E815" t="str">
        <f t="shared" si="266"/>
        <v>640100</v>
      </c>
      <c r="F815" t="str">
        <f>"01/31/15"</f>
        <v>01/31/15</v>
      </c>
      <c r="G815" t="str">
        <f>"23140"</f>
        <v>23140</v>
      </c>
      <c r="H815" s="4">
        <v>1886</v>
      </c>
      <c r="I815" s="3"/>
      <c r="J815" t="str">
        <f t="shared" si="267"/>
        <v>NEXGEN MECHANICAL INC</v>
      </c>
      <c r="K815" t="str">
        <f>"3319398"</f>
        <v>3319398</v>
      </c>
      <c r="L815" s="2" t="str">
        <f>"MPA-136 7/1/12-12/31/14 (MEDIUM SKILL LEVEL) STRAIGHT TIME"</f>
        <v>MPA-136 7/1/12-12/31/14 (MEDIUM SKILL LEVEL) STRAIGHT TIME</v>
      </c>
      <c r="M815" t="str">
        <f>"SVALLANT"</f>
        <v>SVALLANT</v>
      </c>
    </row>
    <row r="816" spans="1:13" ht="30" x14ac:dyDescent="0.25">
      <c r="A816" t="str">
        <f t="shared" si="262"/>
        <v>10</v>
      </c>
      <c r="B816" t="str">
        <f t="shared" si="263"/>
        <v>066</v>
      </c>
      <c r="C816" t="str">
        <f t="shared" si="264"/>
        <v>3010106</v>
      </c>
      <c r="D816" t="str">
        <f t="shared" si="265"/>
        <v>03</v>
      </c>
      <c r="E816" t="str">
        <f t="shared" si="266"/>
        <v>640100</v>
      </c>
      <c r="F816" t="str">
        <f>"01/31/15"</f>
        <v>01/31/15</v>
      </c>
      <c r="G816" t="str">
        <f>"23140"</f>
        <v>23140</v>
      </c>
      <c r="H816" s="4">
        <v>2331.2199999999998</v>
      </c>
      <c r="I816" s="3"/>
      <c r="J816" t="str">
        <f t="shared" si="267"/>
        <v>NEXGEN MECHANICAL INC</v>
      </c>
      <c r="K816" t="str">
        <f>"3319398"</f>
        <v>3319398</v>
      </c>
      <c r="L816" s="2" t="str">
        <f>"MPA-136 7/1/12-12/31/14 MISCELLANEOUS CHARGES - PAID AT $1.00 FOR EVERY $1.00 OF ALLOWABLE EXPENSE"</f>
        <v>MPA-136 7/1/12-12/31/14 MISCELLANEOUS CHARGES - PAID AT $1.00 FOR EVERY $1.00 OF ALLOWABLE EXPENSE</v>
      </c>
      <c r="M816" t="str">
        <f>"SVALLANT"</f>
        <v>SVALLANT</v>
      </c>
    </row>
    <row r="817" spans="1:13" ht="30" x14ac:dyDescent="0.25">
      <c r="A817" t="str">
        <f t="shared" si="262"/>
        <v>10</v>
      </c>
      <c r="B817" t="str">
        <f t="shared" si="263"/>
        <v>066</v>
      </c>
      <c r="C817" t="str">
        <f t="shared" si="264"/>
        <v>3010106</v>
      </c>
      <c r="D817" t="str">
        <f t="shared" si="265"/>
        <v>03</v>
      </c>
      <c r="E817" t="str">
        <f t="shared" si="266"/>
        <v>640100</v>
      </c>
      <c r="F817" t="str">
        <f>"01/31/16"</f>
        <v>01/31/16</v>
      </c>
      <c r="G817" t="str">
        <f>"25841"</f>
        <v>25841</v>
      </c>
      <c r="H817" s="4">
        <v>138</v>
      </c>
      <c r="I817" s="3"/>
      <c r="J817" t="str">
        <f t="shared" si="267"/>
        <v>NEXGEN MECHANICAL INC</v>
      </c>
      <c r="K817" t="str">
        <f>"3448543"</f>
        <v>3448543</v>
      </c>
      <c r="L817" s="2" t="str">
        <f>"MPA-136  FY16-17  APPRENTICE REFRIGERATION - STRAIGHT TIME HOURLY RATE ON-SITE LOWEST TIER"</f>
        <v>MPA-136  FY16-17  APPRENTICE REFRIGERATION - STRAIGHT TIME HOURLY RATE ON-SITE LOWEST TIER</v>
      </c>
      <c r="M817" t="str">
        <f>"SVALLANT"</f>
        <v>SVALLANT</v>
      </c>
    </row>
    <row r="818" spans="1:13" x14ac:dyDescent="0.25">
      <c r="A818" t="str">
        <f t="shared" si="262"/>
        <v>10</v>
      </c>
      <c r="B818" t="str">
        <f t="shared" si="263"/>
        <v>066</v>
      </c>
      <c r="C818" t="str">
        <f t="shared" si="264"/>
        <v>3010106</v>
      </c>
      <c r="D818" t="str">
        <f t="shared" si="265"/>
        <v>03</v>
      </c>
      <c r="E818" t="str">
        <f t="shared" si="266"/>
        <v>640100</v>
      </c>
      <c r="F818" t="str">
        <f>"03/31/15"</f>
        <v>03/31/15</v>
      </c>
      <c r="G818" t="str">
        <f>"23708"</f>
        <v>23708</v>
      </c>
      <c r="H818" s="4">
        <v>282</v>
      </c>
      <c r="I818" s="3"/>
      <c r="J818" t="str">
        <f t="shared" si="267"/>
        <v>NEXGEN MECHANICAL INC</v>
      </c>
      <c r="K818" t="str">
        <f>"3319398"</f>
        <v>3319398</v>
      </c>
      <c r="L818" s="2" t="str">
        <f>"MPA-136 7/1/12-3/31/15 (HIGHEST SKILL LEVEL) STRAIGHT TIME"</f>
        <v>MPA-136 7/1/12-3/31/15 (HIGHEST SKILL LEVEL) STRAIGHT TIME</v>
      </c>
      <c r="M818" t="str">
        <f t="shared" ref="M818:M830" si="268">"CHRISTY@"</f>
        <v>CHRISTY@</v>
      </c>
    </row>
    <row r="819" spans="1:13" ht="30" x14ac:dyDescent="0.25">
      <c r="A819" t="str">
        <f t="shared" si="262"/>
        <v>10</v>
      </c>
      <c r="B819" t="str">
        <f t="shared" si="263"/>
        <v>066</v>
      </c>
      <c r="C819" t="str">
        <f t="shared" si="264"/>
        <v>3010106</v>
      </c>
      <c r="D819" t="str">
        <f t="shared" si="265"/>
        <v>03</v>
      </c>
      <c r="E819" t="str">
        <f t="shared" si="266"/>
        <v>640100</v>
      </c>
      <c r="F819" t="str">
        <f>"03/31/16"</f>
        <v>03/31/16</v>
      </c>
      <c r="G819" t="str">
        <f>"25743"</f>
        <v>25743</v>
      </c>
      <c r="H819" s="4">
        <v>230</v>
      </c>
      <c r="I819" s="3"/>
      <c r="J819" t="str">
        <f t="shared" si="267"/>
        <v>NEXGEN MECHANICAL INC</v>
      </c>
      <c r="K819" t="str">
        <f t="shared" ref="K819:K824" si="269">"3448543"</f>
        <v>3448543</v>
      </c>
      <c r="L819" s="2" t="str">
        <f>"MPA-136  FY16-17  APPRENTICE PIPEFITTER - STRAIGHT TIME HOURLY RATE ON-SITE LOWEST TIER"</f>
        <v>MPA-136  FY16-17  APPRENTICE PIPEFITTER - STRAIGHT TIME HOURLY RATE ON-SITE LOWEST TIER</v>
      </c>
      <c r="M819" t="str">
        <f t="shared" si="268"/>
        <v>CHRISTY@</v>
      </c>
    </row>
    <row r="820" spans="1:13" ht="45" x14ac:dyDescent="0.25">
      <c r="A820" t="str">
        <f t="shared" si="262"/>
        <v>10</v>
      </c>
      <c r="B820" t="str">
        <f t="shared" si="263"/>
        <v>066</v>
      </c>
      <c r="C820" t="str">
        <f t="shared" si="264"/>
        <v>3010106</v>
      </c>
      <c r="D820" t="str">
        <f t="shared" si="265"/>
        <v>03</v>
      </c>
      <c r="E820" t="str">
        <f t="shared" si="266"/>
        <v>640100</v>
      </c>
      <c r="F820" t="str">
        <f>"03/31/16"</f>
        <v>03/31/16</v>
      </c>
      <c r="G820" t="str">
        <f>"25878"</f>
        <v>25878</v>
      </c>
      <c r="H820" s="4">
        <v>9769.08</v>
      </c>
      <c r="I820" s="3"/>
      <c r="J820" t="str">
        <f t="shared" si="267"/>
        <v>NEXGEN MECHANICAL INC</v>
      </c>
      <c r="K820" t="str">
        <f t="shared" si="269"/>
        <v>3448543</v>
      </c>
      <c r="L820" s="2" t="str">
        <f>"MPA-136  FY16-17  MATERIALS ARE TO BE PROVIDED AT COST PLUS THE FOLLOWING (APPLICABLE) FEE FOR OVERHEAD, PICKUP, AND DELIVERY.  NO ADDITIONAL CHARGES WILL BE ACCEPTABLE."</f>
        <v>MPA-136  FY16-17  MATERIALS ARE TO BE PROVIDED AT COST PLUS THE FOLLOWING (APPLICABLE) FEE FOR OVERHEAD, PICKUP, AND DELIVERY.  NO ADDITIONAL CHARGES WILL BE ACCEPTABLE.</v>
      </c>
      <c r="M820" t="str">
        <f t="shared" si="268"/>
        <v>CHRISTY@</v>
      </c>
    </row>
    <row r="821" spans="1:13" ht="30" x14ac:dyDescent="0.25">
      <c r="A821" t="str">
        <f t="shared" si="262"/>
        <v>10</v>
      </c>
      <c r="B821" t="str">
        <f t="shared" si="263"/>
        <v>066</v>
      </c>
      <c r="C821" t="str">
        <f t="shared" si="264"/>
        <v>3010106</v>
      </c>
      <c r="D821" t="str">
        <f t="shared" si="265"/>
        <v>03</v>
      </c>
      <c r="E821" t="str">
        <f t="shared" si="266"/>
        <v>640100</v>
      </c>
      <c r="F821" t="str">
        <f>"04/30/16"</f>
        <v>04/30/16</v>
      </c>
      <c r="G821" t="str">
        <f>"26349"</f>
        <v>26349</v>
      </c>
      <c r="H821" s="4">
        <v>366</v>
      </c>
      <c r="I821" s="3"/>
      <c r="J821" t="str">
        <f t="shared" si="267"/>
        <v>NEXGEN MECHANICAL INC</v>
      </c>
      <c r="K821" t="str">
        <f t="shared" si="269"/>
        <v>3448543</v>
      </c>
      <c r="L821" s="2" t="str">
        <f>"MPA-136  FY16-17  REFRIGERATION JOURNEYPERSON 1 - STRAIGHT TIME HOURLY RATE ON-SITE MEDIUM TIER"</f>
        <v>MPA-136  FY16-17  REFRIGERATION JOURNEYPERSON 1 - STRAIGHT TIME HOURLY RATE ON-SITE MEDIUM TIER</v>
      </c>
      <c r="M821" t="str">
        <f t="shared" si="268"/>
        <v>CHRISTY@</v>
      </c>
    </row>
    <row r="822" spans="1:13" ht="45" x14ac:dyDescent="0.25">
      <c r="A822" t="str">
        <f t="shared" si="262"/>
        <v>10</v>
      </c>
      <c r="B822" t="str">
        <f t="shared" si="263"/>
        <v>066</v>
      </c>
      <c r="C822" t="str">
        <f t="shared" si="264"/>
        <v>3010106</v>
      </c>
      <c r="D822" t="str">
        <f t="shared" si="265"/>
        <v>03</v>
      </c>
      <c r="E822" t="str">
        <f t="shared" si="266"/>
        <v>640100</v>
      </c>
      <c r="F822" t="str">
        <f>"04/30/16"</f>
        <v>04/30/16</v>
      </c>
      <c r="G822" t="str">
        <f>"26349"</f>
        <v>26349</v>
      </c>
      <c r="H822" s="4">
        <v>19.8</v>
      </c>
      <c r="I822" s="3"/>
      <c r="J822" t="str">
        <f t="shared" si="267"/>
        <v>NEXGEN MECHANICAL INC</v>
      </c>
      <c r="K822" t="str">
        <f t="shared" si="269"/>
        <v>3448543</v>
      </c>
      <c r="L822" s="2" t="str">
        <f>"MPA-136  FY16-17  MATERIALS ARE TO BE PROVIDED AT COST PLUS THE FOLLOWING (APPLICABLE) FEE FOR OVERHEAD, PICKUP, AND DELIVERY.  NO ADDITIONAL CHARGES WILL BE ACCEPTABLE."</f>
        <v>MPA-136  FY16-17  MATERIALS ARE TO BE PROVIDED AT COST PLUS THE FOLLOWING (APPLICABLE) FEE FOR OVERHEAD, PICKUP, AND DELIVERY.  NO ADDITIONAL CHARGES WILL BE ACCEPTABLE.</v>
      </c>
      <c r="M822" t="str">
        <f t="shared" si="268"/>
        <v>CHRISTY@</v>
      </c>
    </row>
    <row r="823" spans="1:13" ht="30" x14ac:dyDescent="0.25">
      <c r="A823" t="str">
        <f t="shared" si="262"/>
        <v>10</v>
      </c>
      <c r="B823" t="str">
        <f t="shared" si="263"/>
        <v>066</v>
      </c>
      <c r="C823" t="str">
        <f t="shared" si="264"/>
        <v>3010106</v>
      </c>
      <c r="D823" t="str">
        <f t="shared" si="265"/>
        <v>03</v>
      </c>
      <c r="E823" t="str">
        <f t="shared" si="266"/>
        <v>640100</v>
      </c>
      <c r="F823" t="str">
        <f>"04/30/16"</f>
        <v>04/30/16</v>
      </c>
      <c r="G823" t="str">
        <f>"26350"</f>
        <v>26350</v>
      </c>
      <c r="H823" s="4">
        <v>4209</v>
      </c>
      <c r="I823" s="3"/>
      <c r="J823" t="str">
        <f t="shared" si="267"/>
        <v>NEXGEN MECHANICAL INC</v>
      </c>
      <c r="K823" t="str">
        <f t="shared" si="269"/>
        <v>3448543</v>
      </c>
      <c r="L823" s="2" t="str">
        <f>"MPA-136  FY16-17  REFRIGERATION JOURNEYPERSON 1 - STRAIGHT TIME HOURLY RATE ON-SITE MEDIUM TIER"</f>
        <v>MPA-136  FY16-17  REFRIGERATION JOURNEYPERSON 1 - STRAIGHT TIME HOURLY RATE ON-SITE MEDIUM TIER</v>
      </c>
      <c r="M823" t="str">
        <f t="shared" si="268"/>
        <v>CHRISTY@</v>
      </c>
    </row>
    <row r="824" spans="1:13" ht="45" x14ac:dyDescent="0.25">
      <c r="A824" t="str">
        <f t="shared" si="262"/>
        <v>10</v>
      </c>
      <c r="B824" t="str">
        <f t="shared" si="263"/>
        <v>066</v>
      </c>
      <c r="C824" t="str">
        <f t="shared" si="264"/>
        <v>3010106</v>
      </c>
      <c r="D824" t="str">
        <f t="shared" si="265"/>
        <v>03</v>
      </c>
      <c r="E824" t="str">
        <f t="shared" si="266"/>
        <v>640100</v>
      </c>
      <c r="F824" t="str">
        <f>"04/30/16"</f>
        <v>04/30/16</v>
      </c>
      <c r="G824" t="str">
        <f>"26350"</f>
        <v>26350</v>
      </c>
      <c r="H824" s="4">
        <v>1249.8800000000001</v>
      </c>
      <c r="I824" s="3"/>
      <c r="J824" t="str">
        <f t="shared" si="267"/>
        <v>NEXGEN MECHANICAL INC</v>
      </c>
      <c r="K824" t="str">
        <f t="shared" si="269"/>
        <v>3448543</v>
      </c>
      <c r="L824" s="2" t="str">
        <f>"MPA-136  FY16-17  MATERIALS ARE TO BE PROVIDED AT COST PLUS THE FOLLOWING (APPLICABLE) FEE FOR OVERHEAD, PICKUP, AND DELIVERY.  NO ADDITIONAL CHARGES WILL BE ACCEPTABLE."</f>
        <v>MPA-136  FY16-17  MATERIALS ARE TO BE PROVIDED AT COST PLUS THE FOLLOWING (APPLICABLE) FEE FOR OVERHEAD, PICKUP, AND DELIVERY.  NO ADDITIONAL CHARGES WILL BE ACCEPTABLE.</v>
      </c>
      <c r="M824" t="str">
        <f t="shared" si="268"/>
        <v>CHRISTY@</v>
      </c>
    </row>
    <row r="825" spans="1:13" x14ac:dyDescent="0.25">
      <c r="A825" t="str">
        <f t="shared" si="262"/>
        <v>10</v>
      </c>
      <c r="B825" t="str">
        <f t="shared" si="263"/>
        <v>066</v>
      </c>
      <c r="C825" t="str">
        <f t="shared" si="264"/>
        <v>3010106</v>
      </c>
      <c r="D825" t="str">
        <f t="shared" si="265"/>
        <v>03</v>
      </c>
      <c r="E825" t="str">
        <f t="shared" si="266"/>
        <v>640100</v>
      </c>
      <c r="F825" t="str">
        <f t="shared" ref="F825:F831" si="270">"06/30/15"</f>
        <v>06/30/15</v>
      </c>
      <c r="G825" t="str">
        <f>"24333"</f>
        <v>24333</v>
      </c>
      <c r="H825" s="4">
        <v>506</v>
      </c>
      <c r="I825" s="3"/>
      <c r="J825" t="str">
        <f t="shared" si="267"/>
        <v>NEXGEN MECHANICAL INC</v>
      </c>
      <c r="K825" t="str">
        <f t="shared" ref="K825:K831" si="271">"3319398"</f>
        <v>3319398</v>
      </c>
      <c r="L825" s="2" t="str">
        <f>"MPA-136 7/1/12-6/30/15 - (MEDIUM SKILL LEVEL) STRAIGHT TIME"</f>
        <v>MPA-136 7/1/12-6/30/15 - (MEDIUM SKILL LEVEL) STRAIGHT TIME</v>
      </c>
      <c r="M825" t="str">
        <f t="shared" si="268"/>
        <v>CHRISTY@</v>
      </c>
    </row>
    <row r="826" spans="1:13" ht="30" x14ac:dyDescent="0.25">
      <c r="A826" t="str">
        <f t="shared" si="262"/>
        <v>10</v>
      </c>
      <c r="B826" t="str">
        <f t="shared" si="263"/>
        <v>066</v>
      </c>
      <c r="C826" t="str">
        <f t="shared" si="264"/>
        <v>3010106</v>
      </c>
      <c r="D826" t="str">
        <f t="shared" si="265"/>
        <v>03</v>
      </c>
      <c r="E826" t="str">
        <f t="shared" si="266"/>
        <v>640100</v>
      </c>
      <c r="F826" t="str">
        <f t="shared" si="270"/>
        <v>06/30/15</v>
      </c>
      <c r="G826" t="str">
        <f>"24554"</f>
        <v>24554</v>
      </c>
      <c r="H826" s="4">
        <v>198.2</v>
      </c>
      <c r="I826" s="3"/>
      <c r="J826" t="str">
        <f t="shared" si="267"/>
        <v>NEXGEN MECHANICAL INC</v>
      </c>
      <c r="K826" t="str">
        <f t="shared" si="271"/>
        <v>3319398</v>
      </c>
      <c r="L826" s="2" t="str">
        <f>"MPA-136 7/1/12-6/30/15 - MISCELLANEOUS CHARGES - PAID AT $1.00 FOR EVERY $1.00 OF ALLOWABLE EXPENSE"</f>
        <v>MPA-136 7/1/12-6/30/15 - MISCELLANEOUS CHARGES - PAID AT $1.00 FOR EVERY $1.00 OF ALLOWABLE EXPENSE</v>
      </c>
      <c r="M826" t="str">
        <f t="shared" si="268"/>
        <v>CHRISTY@</v>
      </c>
    </row>
    <row r="827" spans="1:13" x14ac:dyDescent="0.25">
      <c r="A827" t="str">
        <f t="shared" si="262"/>
        <v>10</v>
      </c>
      <c r="B827" t="str">
        <f t="shared" si="263"/>
        <v>066</v>
      </c>
      <c r="C827" t="str">
        <f t="shared" si="264"/>
        <v>3010106</v>
      </c>
      <c r="D827" t="str">
        <f t="shared" si="265"/>
        <v>03</v>
      </c>
      <c r="E827" t="str">
        <f t="shared" si="266"/>
        <v>640100</v>
      </c>
      <c r="F827" t="str">
        <f t="shared" si="270"/>
        <v>06/30/15</v>
      </c>
      <c r="G827" t="str">
        <f>"24554"</f>
        <v>24554</v>
      </c>
      <c r="H827" s="4">
        <v>690</v>
      </c>
      <c r="I827" s="3"/>
      <c r="J827" t="str">
        <f t="shared" si="267"/>
        <v>NEXGEN MECHANICAL INC</v>
      </c>
      <c r="K827" t="str">
        <f t="shared" si="271"/>
        <v>3319398</v>
      </c>
      <c r="L827" s="2" t="str">
        <f>"MPA-136 7/1/12-6/30/15 - (MEDIUM SKILL LEVEL) STRAIGHT TIME"</f>
        <v>MPA-136 7/1/12-6/30/15 - (MEDIUM SKILL LEVEL) STRAIGHT TIME</v>
      </c>
      <c r="M827" t="str">
        <f t="shared" si="268"/>
        <v>CHRISTY@</v>
      </c>
    </row>
    <row r="828" spans="1:13" ht="30" x14ac:dyDescent="0.25">
      <c r="A828" t="str">
        <f t="shared" si="262"/>
        <v>10</v>
      </c>
      <c r="B828" t="str">
        <f t="shared" si="263"/>
        <v>066</v>
      </c>
      <c r="C828" t="str">
        <f t="shared" si="264"/>
        <v>3010106</v>
      </c>
      <c r="D828" t="str">
        <f t="shared" si="265"/>
        <v>03</v>
      </c>
      <c r="E828" t="str">
        <f t="shared" si="266"/>
        <v>640100</v>
      </c>
      <c r="F828" t="str">
        <f t="shared" si="270"/>
        <v>06/30/15</v>
      </c>
      <c r="G828" t="str">
        <f>"24557"</f>
        <v>24557</v>
      </c>
      <c r="H828" s="4">
        <v>2295.15</v>
      </c>
      <c r="I828" s="3"/>
      <c r="J828" t="str">
        <f t="shared" si="267"/>
        <v>NEXGEN MECHANICAL INC</v>
      </c>
      <c r="K828" t="str">
        <f t="shared" si="271"/>
        <v>3319398</v>
      </c>
      <c r="L828" s="2" t="str">
        <f>"MPA-136 7/1/12-6/30/15 - MISCELLANEOUS CHARGES - PAID AT $1.00 FOR EVERY $1.00 OF ALLOWABLE EXPENSE"</f>
        <v>MPA-136 7/1/12-6/30/15 - MISCELLANEOUS CHARGES - PAID AT $1.00 FOR EVERY $1.00 OF ALLOWABLE EXPENSE</v>
      </c>
      <c r="M828" t="str">
        <f t="shared" si="268"/>
        <v>CHRISTY@</v>
      </c>
    </row>
    <row r="829" spans="1:13" x14ac:dyDescent="0.25">
      <c r="A829" t="str">
        <f t="shared" si="262"/>
        <v>10</v>
      </c>
      <c r="B829" t="str">
        <f t="shared" si="263"/>
        <v>066</v>
      </c>
      <c r="C829" t="str">
        <f t="shared" si="264"/>
        <v>3010106</v>
      </c>
      <c r="D829" t="str">
        <f t="shared" si="265"/>
        <v>03</v>
      </c>
      <c r="E829" t="str">
        <f t="shared" si="266"/>
        <v>640100</v>
      </c>
      <c r="F829" t="str">
        <f t="shared" si="270"/>
        <v>06/30/15</v>
      </c>
      <c r="G829" t="str">
        <f>"24557"</f>
        <v>24557</v>
      </c>
      <c r="H829" s="4">
        <v>414</v>
      </c>
      <c r="I829" s="3"/>
      <c r="J829" t="str">
        <f t="shared" si="267"/>
        <v>NEXGEN MECHANICAL INC</v>
      </c>
      <c r="K829" t="str">
        <f t="shared" si="271"/>
        <v>3319398</v>
      </c>
      <c r="L829" s="2" t="str">
        <f>"MPA-136 7/1/12-6/30/15 - (MEDIUM SKILL LEVEL) STRAIGHT TIME"</f>
        <v>MPA-136 7/1/12-6/30/15 - (MEDIUM SKILL LEVEL) STRAIGHT TIME</v>
      </c>
      <c r="M829" t="str">
        <f t="shared" si="268"/>
        <v>CHRISTY@</v>
      </c>
    </row>
    <row r="830" spans="1:13" x14ac:dyDescent="0.25">
      <c r="A830" t="str">
        <f t="shared" si="262"/>
        <v>10</v>
      </c>
      <c r="B830" t="str">
        <f t="shared" si="263"/>
        <v>066</v>
      </c>
      <c r="C830" t="str">
        <f t="shared" si="264"/>
        <v>3010106</v>
      </c>
      <c r="D830" t="str">
        <f t="shared" si="265"/>
        <v>03</v>
      </c>
      <c r="E830" t="str">
        <f t="shared" si="266"/>
        <v>640100</v>
      </c>
      <c r="F830" t="str">
        <f t="shared" si="270"/>
        <v>06/30/15</v>
      </c>
      <c r="G830" t="str">
        <f>"24576"</f>
        <v>24576</v>
      </c>
      <c r="H830" s="4">
        <v>2256</v>
      </c>
      <c r="I830" s="3"/>
      <c r="J830" t="str">
        <f t="shared" si="267"/>
        <v>NEXGEN MECHANICAL INC</v>
      </c>
      <c r="K830" t="str">
        <f t="shared" si="271"/>
        <v>3319398</v>
      </c>
      <c r="L830" s="2" t="str">
        <f>"MPA-136 7/1/12-3/31/15 (HIGHEST SKILL LEVEL) STRAIGHT TIME"</f>
        <v>MPA-136 7/1/12-3/31/15 (HIGHEST SKILL LEVEL) STRAIGHT TIME</v>
      </c>
      <c r="M830" t="str">
        <f t="shared" si="268"/>
        <v>CHRISTY@</v>
      </c>
    </row>
    <row r="831" spans="1:13" x14ac:dyDescent="0.25">
      <c r="A831" t="str">
        <f t="shared" si="262"/>
        <v>10</v>
      </c>
      <c r="B831" t="str">
        <f t="shared" si="263"/>
        <v>066</v>
      </c>
      <c r="C831" t="str">
        <f t="shared" si="264"/>
        <v>3010106</v>
      </c>
      <c r="D831" t="str">
        <f t="shared" si="265"/>
        <v>03</v>
      </c>
      <c r="E831" t="str">
        <f t="shared" si="266"/>
        <v>640100</v>
      </c>
      <c r="F831" t="str">
        <f t="shared" si="270"/>
        <v>06/30/15</v>
      </c>
      <c r="G831" t="str">
        <f>"24576"</f>
        <v>24576</v>
      </c>
      <c r="H831" s="4">
        <v>9128</v>
      </c>
      <c r="I831" s="3"/>
      <c r="J831" t="str">
        <f t="shared" si="267"/>
        <v>NEXGEN MECHANICAL INC</v>
      </c>
      <c r="K831" t="str">
        <f t="shared" si="271"/>
        <v>3319398</v>
      </c>
      <c r="L831" s="2" t="str">
        <f>"MPA-136 7/1/12-6/30/15 - MATERIALS &amp; PARTS AT VENDOR'S COST PLUS 20% MARKUP"</f>
        <v>MPA-136 7/1/12-6/30/15 - MATERIALS &amp; PARTS AT VENDOR'S COST PLUS 20% MARKUP</v>
      </c>
      <c r="M831" t="str">
        <f>"MFUSCO"</f>
        <v>MFUSCO</v>
      </c>
    </row>
    <row r="832" spans="1:13" ht="30" x14ac:dyDescent="0.25">
      <c r="A832" t="str">
        <f t="shared" si="262"/>
        <v>10</v>
      </c>
      <c r="B832" t="str">
        <f t="shared" si="263"/>
        <v>066</v>
      </c>
      <c r="C832" t="str">
        <f t="shared" si="264"/>
        <v>3010106</v>
      </c>
      <c r="D832" t="str">
        <f t="shared" si="265"/>
        <v>03</v>
      </c>
      <c r="E832" t="str">
        <f t="shared" si="266"/>
        <v>640100</v>
      </c>
      <c r="F832" t="str">
        <f>"07/31/16"</f>
        <v>07/31/16</v>
      </c>
      <c r="G832" t="str">
        <f>"27044"</f>
        <v>27044</v>
      </c>
      <c r="H832" s="4">
        <v>305</v>
      </c>
      <c r="I832" s="3"/>
      <c r="J832" t="str">
        <f t="shared" si="267"/>
        <v>NEXGEN MECHANICAL INC</v>
      </c>
      <c r="K832" t="str">
        <f>"3448543"</f>
        <v>3448543</v>
      </c>
      <c r="L832" s="2" t="str">
        <f>"MPA-136  FY16-17  REFRIGERATION MASTER 1 - STRAIGHT TIME HOURLY RATE ON-SITE MEDIUM TIER"</f>
        <v>MPA-136  FY16-17  REFRIGERATION MASTER 1 - STRAIGHT TIME HOURLY RATE ON-SITE MEDIUM TIER</v>
      </c>
      <c r="M832" t="str">
        <f>"MFUSCO"</f>
        <v>MFUSCO</v>
      </c>
    </row>
    <row r="833" spans="1:13" x14ac:dyDescent="0.25">
      <c r="A833" t="str">
        <f t="shared" si="262"/>
        <v>10</v>
      </c>
      <c r="B833" t="str">
        <f t="shared" si="263"/>
        <v>066</v>
      </c>
      <c r="C833" t="str">
        <f t="shared" si="264"/>
        <v>3010106</v>
      </c>
      <c r="D833" t="str">
        <f t="shared" si="265"/>
        <v>03</v>
      </c>
      <c r="E833" t="str">
        <f t="shared" si="266"/>
        <v>640100</v>
      </c>
      <c r="F833" t="str">
        <f>"08/31/14"</f>
        <v>08/31/14</v>
      </c>
      <c r="G833" t="str">
        <f>"22187"</f>
        <v>22187</v>
      </c>
      <c r="H833" s="4">
        <v>276</v>
      </c>
      <c r="I833" s="3"/>
      <c r="J833" t="str">
        <f t="shared" si="267"/>
        <v>NEXGEN MECHANICAL INC</v>
      </c>
      <c r="K833" t="str">
        <f>"3319398"</f>
        <v>3319398</v>
      </c>
      <c r="L833" s="2" t="str">
        <f>"MPA-136 7/1/12-9/30/14 (MEDIUM SKILL LEVEL) STRAIGHT TIME"</f>
        <v>MPA-136 7/1/12-9/30/14 (MEDIUM SKILL LEVEL) STRAIGHT TIME</v>
      </c>
      <c r="M833" t="str">
        <f>"CHRISTY@"</f>
        <v>CHRISTY@</v>
      </c>
    </row>
    <row r="834" spans="1:13" ht="30" x14ac:dyDescent="0.25">
      <c r="A834" t="str">
        <f t="shared" si="262"/>
        <v>10</v>
      </c>
      <c r="B834" t="str">
        <f t="shared" si="263"/>
        <v>066</v>
      </c>
      <c r="C834" t="str">
        <f t="shared" si="264"/>
        <v>3010106</v>
      </c>
      <c r="D834" t="str">
        <f t="shared" si="265"/>
        <v>03</v>
      </c>
      <c r="E834" t="str">
        <f t="shared" si="266"/>
        <v>640100</v>
      </c>
      <c r="F834" t="str">
        <f>"08/31/14"</f>
        <v>08/31/14</v>
      </c>
      <c r="G834" t="str">
        <f>"22187"</f>
        <v>22187</v>
      </c>
      <c r="H834" s="4">
        <v>700</v>
      </c>
      <c r="I834" s="3"/>
      <c r="J834" t="str">
        <f t="shared" si="267"/>
        <v>NEXGEN MECHANICAL INC</v>
      </c>
      <c r="K834" t="str">
        <f>"3319398"</f>
        <v>3319398</v>
      </c>
      <c r="L834" s="2" t="str">
        <f>"MPA-136 7/1/12-9/30/14 MISCELLANEOUS CHARGES - PAID AT $1.00 FOR EVERY $1.00 OF ALLOWABLE EXPENSE"</f>
        <v>MPA-136 7/1/12-9/30/14 MISCELLANEOUS CHARGES - PAID AT $1.00 FOR EVERY $1.00 OF ALLOWABLE EXPENSE</v>
      </c>
      <c r="M834" t="str">
        <f>"SVALLANT"</f>
        <v>SVALLANT</v>
      </c>
    </row>
    <row r="835" spans="1:13" x14ac:dyDescent="0.25">
      <c r="A835" t="str">
        <f t="shared" si="262"/>
        <v>10</v>
      </c>
      <c r="B835" t="str">
        <f t="shared" si="263"/>
        <v>066</v>
      </c>
      <c r="C835" t="str">
        <f t="shared" si="264"/>
        <v>3010106</v>
      </c>
      <c r="D835" t="str">
        <f t="shared" si="265"/>
        <v>03</v>
      </c>
      <c r="E835" t="str">
        <f t="shared" si="266"/>
        <v>640100</v>
      </c>
      <c r="F835" t="str">
        <f>"08/31/14"</f>
        <v>08/31/14</v>
      </c>
      <c r="G835" t="str">
        <f>"22230"</f>
        <v>22230</v>
      </c>
      <c r="H835" s="4">
        <v>212.87</v>
      </c>
      <c r="I835" s="3"/>
      <c r="J835" t="str">
        <f t="shared" si="267"/>
        <v>NEXGEN MECHANICAL INC</v>
      </c>
      <c r="K835" t="str">
        <f>"3319398"</f>
        <v>3319398</v>
      </c>
      <c r="L835" s="2" t="str">
        <f>"MPA-136 MATERIALS &amp; PARTS AT VENDOR'S COST PLUS 20% MARKUP"</f>
        <v>MPA-136 MATERIALS &amp; PARTS AT VENDOR'S COST PLUS 20% MARKUP</v>
      </c>
      <c r="M835" t="str">
        <f>"SVALLANT"</f>
        <v>SVALLANT</v>
      </c>
    </row>
    <row r="836" spans="1:13" x14ac:dyDescent="0.25">
      <c r="A836" t="str">
        <f t="shared" si="262"/>
        <v>10</v>
      </c>
      <c r="B836" t="str">
        <f t="shared" si="263"/>
        <v>066</v>
      </c>
      <c r="C836" t="str">
        <f t="shared" si="264"/>
        <v>3010106</v>
      </c>
      <c r="D836" t="str">
        <f t="shared" si="265"/>
        <v>03</v>
      </c>
      <c r="E836" t="str">
        <f t="shared" si="266"/>
        <v>640100</v>
      </c>
      <c r="F836" t="str">
        <f>"08/31/14"</f>
        <v>08/31/14</v>
      </c>
      <c r="G836" t="str">
        <f>"22230"</f>
        <v>22230</v>
      </c>
      <c r="H836" s="4">
        <v>414</v>
      </c>
      <c r="I836" s="3"/>
      <c r="J836" t="str">
        <f t="shared" si="267"/>
        <v>NEXGEN MECHANICAL INC</v>
      </c>
      <c r="K836" t="str">
        <f>"3319398"</f>
        <v>3319398</v>
      </c>
      <c r="L836" s="2" t="str">
        <f>"MPA-136 7/1/12-9/30/14 (MEDIUM SKILL LEVEL) STRAIGHT TIME"</f>
        <v>MPA-136 7/1/12-9/30/14 (MEDIUM SKILL LEVEL) STRAIGHT TIME</v>
      </c>
      <c r="M836" t="str">
        <f>"SVALLANT"</f>
        <v>SVALLANT</v>
      </c>
    </row>
    <row r="837" spans="1:13" ht="30" x14ac:dyDescent="0.25">
      <c r="A837" t="str">
        <f t="shared" si="262"/>
        <v>10</v>
      </c>
      <c r="B837" t="str">
        <f t="shared" si="263"/>
        <v>066</v>
      </c>
      <c r="C837" t="str">
        <f t="shared" si="264"/>
        <v>3010106</v>
      </c>
      <c r="D837" t="str">
        <f t="shared" si="265"/>
        <v>03</v>
      </c>
      <c r="E837" t="str">
        <f t="shared" si="266"/>
        <v>640100</v>
      </c>
      <c r="F837" t="str">
        <f>"08/31/16"</f>
        <v>08/31/16</v>
      </c>
      <c r="G837" t="str">
        <f>"27204"</f>
        <v>27204</v>
      </c>
      <c r="H837" s="4">
        <v>5120</v>
      </c>
      <c r="I837" s="3"/>
      <c r="J837" t="str">
        <f t="shared" si="267"/>
        <v>NEXGEN MECHANICAL INC</v>
      </c>
      <c r="K837" t="str">
        <f>"3448543"</f>
        <v>3448543</v>
      </c>
      <c r="L837" s="2" t="str">
        <f>"MPA-136  FY16-17  PIPEFITTER JOURNEYPERSON 1 STRAIGHT TIME HOURLY RATE ON-SITE HIGHEST TIER"</f>
        <v>MPA-136  FY16-17  PIPEFITTER JOURNEYPERSON 1 STRAIGHT TIME HOURLY RATE ON-SITE HIGHEST TIER</v>
      </c>
      <c r="M837" t="str">
        <f>"SVALLANT"</f>
        <v>SVALLANT</v>
      </c>
    </row>
    <row r="838" spans="1:13" ht="45" x14ac:dyDescent="0.25">
      <c r="A838" t="str">
        <f t="shared" si="262"/>
        <v>10</v>
      </c>
      <c r="B838" t="str">
        <f t="shared" si="263"/>
        <v>066</v>
      </c>
      <c r="C838" t="str">
        <f t="shared" si="264"/>
        <v>3010106</v>
      </c>
      <c r="D838" t="str">
        <f t="shared" si="265"/>
        <v>03</v>
      </c>
      <c r="E838" t="str">
        <f t="shared" si="266"/>
        <v>640100</v>
      </c>
      <c r="F838" t="str">
        <f>"08/31/16"</f>
        <v>08/31/16</v>
      </c>
      <c r="G838" t="str">
        <f>"27204"</f>
        <v>27204</v>
      </c>
      <c r="H838" s="4">
        <v>1922.11</v>
      </c>
      <c r="I838" s="3"/>
      <c r="J838" t="str">
        <f t="shared" si="267"/>
        <v>NEXGEN MECHANICAL INC</v>
      </c>
      <c r="K838" t="str">
        <f>"3448543"</f>
        <v>3448543</v>
      </c>
      <c r="L838" s="2" t="str">
        <f>"MPA-136  FY16-17  MATERIALS ARE TO BE PROVIDED AT COST PLUS THE FOLLOWING (APPLICABLE) FEE FOR OVERHEAD, PICKUP, AND DELIVERY.  NO ADDITIONAL CHARGES WILL BE ACCEPTABLE."</f>
        <v>MPA-136  FY16-17  MATERIALS ARE TO BE PROVIDED AT COST PLUS THE FOLLOWING (APPLICABLE) FEE FOR OVERHEAD, PICKUP, AND DELIVERY.  NO ADDITIONAL CHARGES WILL BE ACCEPTABLE.</v>
      </c>
      <c r="M838" t="str">
        <f t="shared" ref="M838:M843" si="272">"CHRISTY@"</f>
        <v>CHRISTY@</v>
      </c>
    </row>
    <row r="839" spans="1:13" ht="45" x14ac:dyDescent="0.25">
      <c r="A839" t="str">
        <f t="shared" si="262"/>
        <v>10</v>
      </c>
      <c r="B839" t="str">
        <f t="shared" si="263"/>
        <v>066</v>
      </c>
      <c r="C839" t="str">
        <f t="shared" si="264"/>
        <v>3010106</v>
      </c>
      <c r="D839" t="str">
        <f t="shared" si="265"/>
        <v>03</v>
      </c>
      <c r="E839" t="str">
        <f t="shared" si="266"/>
        <v>640100</v>
      </c>
      <c r="F839" t="str">
        <f>"08/31/16"</f>
        <v>08/31/16</v>
      </c>
      <c r="G839" t="str">
        <f>"27204"</f>
        <v>27204</v>
      </c>
      <c r="H839" s="4">
        <v>-38.44</v>
      </c>
      <c r="I839" s="3"/>
      <c r="J839" t="str">
        <f t="shared" si="267"/>
        <v>NEXGEN MECHANICAL INC</v>
      </c>
      <c r="K839" t="str">
        <f>"3448543"</f>
        <v>3448543</v>
      </c>
      <c r="L839" s="2" t="str">
        <f>"MPA-136  FY16-17  MATERIALS ARE TO BE PROVIDED AT COST PLUS THE FOLLOWING (APPLICABLE) FEE FOR OVERHEAD, PICKUP, AND DELIVERY.  NO ADDITIONAL CHARGES WILL BE ACCEPTABLE."</f>
        <v>MPA-136  FY16-17  MATERIALS ARE TO BE PROVIDED AT COST PLUS THE FOLLOWING (APPLICABLE) FEE FOR OVERHEAD, PICKUP, AND DELIVERY.  NO ADDITIONAL CHARGES WILL BE ACCEPTABLE.</v>
      </c>
      <c r="M839" t="str">
        <f t="shared" si="272"/>
        <v>CHRISTY@</v>
      </c>
    </row>
    <row r="840" spans="1:13" ht="30" x14ac:dyDescent="0.25">
      <c r="A840" t="str">
        <f t="shared" si="262"/>
        <v>10</v>
      </c>
      <c r="B840" t="str">
        <f t="shared" si="263"/>
        <v>066</v>
      </c>
      <c r="C840" t="str">
        <f t="shared" si="264"/>
        <v>3010106</v>
      </c>
      <c r="D840" t="str">
        <f t="shared" si="265"/>
        <v>03</v>
      </c>
      <c r="E840" t="str">
        <f t="shared" si="266"/>
        <v>640100</v>
      </c>
      <c r="F840" t="str">
        <f>"08/31/16"</f>
        <v>08/31/16</v>
      </c>
      <c r="G840" t="str">
        <f>"27204"</f>
        <v>27204</v>
      </c>
      <c r="H840" s="4">
        <v>-102.4</v>
      </c>
      <c r="I840" s="3"/>
      <c r="J840" t="str">
        <f t="shared" si="267"/>
        <v>NEXGEN MECHANICAL INC</v>
      </c>
      <c r="K840" t="str">
        <f>"3448543"</f>
        <v>3448543</v>
      </c>
      <c r="L840" s="2" t="str">
        <f>"MPA-136  FY16-17  PIPEFITTER JOURNEYPERSON 1 STRAIGHT TIME HOURLY RATE ON-SITE HIGHEST TIER"</f>
        <v>MPA-136  FY16-17  PIPEFITTER JOURNEYPERSON 1 STRAIGHT TIME HOURLY RATE ON-SITE HIGHEST TIER</v>
      </c>
      <c r="M840" t="str">
        <f t="shared" si="272"/>
        <v>CHRISTY@</v>
      </c>
    </row>
    <row r="841" spans="1:13" x14ac:dyDescent="0.25">
      <c r="A841" t="str">
        <f t="shared" si="262"/>
        <v>10</v>
      </c>
      <c r="B841" t="str">
        <f t="shared" si="263"/>
        <v>066</v>
      </c>
      <c r="C841" t="str">
        <f t="shared" si="264"/>
        <v>3010106</v>
      </c>
      <c r="D841" t="str">
        <f t="shared" si="265"/>
        <v>03</v>
      </c>
      <c r="E841" t="str">
        <f t="shared" si="266"/>
        <v>640100</v>
      </c>
      <c r="F841" t="str">
        <f>"09/30/15"</f>
        <v>09/30/15</v>
      </c>
      <c r="G841" t="str">
        <f>"24873"</f>
        <v>24873</v>
      </c>
      <c r="H841" s="4">
        <v>86.25</v>
      </c>
      <c r="I841" s="3"/>
      <c r="J841" t="str">
        <f t="shared" si="267"/>
        <v>NEXGEN MECHANICAL INC</v>
      </c>
      <c r="K841" t="str">
        <f t="shared" ref="K841:K847" si="273">"3319398"</f>
        <v>3319398</v>
      </c>
      <c r="L841" s="2" t="str">
        <f>"MPA-136 7/1/12-9/30/15 - (MEDIUM SKILL LEVEL) STRAIGHT TIME"</f>
        <v>MPA-136 7/1/12-9/30/15 - (MEDIUM SKILL LEVEL) STRAIGHT TIME</v>
      </c>
      <c r="M841" t="str">
        <f t="shared" si="272"/>
        <v>CHRISTY@</v>
      </c>
    </row>
    <row r="842" spans="1:13" x14ac:dyDescent="0.25">
      <c r="A842" t="str">
        <f t="shared" si="262"/>
        <v>10</v>
      </c>
      <c r="B842" t="str">
        <f t="shared" si="263"/>
        <v>066</v>
      </c>
      <c r="C842" t="str">
        <f t="shared" si="264"/>
        <v>3010106</v>
      </c>
      <c r="D842" t="str">
        <f t="shared" si="265"/>
        <v>03</v>
      </c>
      <c r="E842" t="str">
        <f t="shared" si="266"/>
        <v>640100</v>
      </c>
      <c r="F842" t="str">
        <f>"09/30/15"</f>
        <v>09/30/15</v>
      </c>
      <c r="G842" t="str">
        <f>"24876"</f>
        <v>24876</v>
      </c>
      <c r="H842" s="4">
        <v>143.75</v>
      </c>
      <c r="I842" s="3"/>
      <c r="J842" t="str">
        <f t="shared" si="267"/>
        <v>NEXGEN MECHANICAL INC</v>
      </c>
      <c r="K842" t="str">
        <f t="shared" si="273"/>
        <v>3319398</v>
      </c>
      <c r="L842" s="2" t="str">
        <f>"MPA-136 7/1/12-9/30/15 - (MEDIUM SKILL LEVEL) STRAIGHT TIME"</f>
        <v>MPA-136 7/1/12-9/30/15 - (MEDIUM SKILL LEVEL) STRAIGHT TIME</v>
      </c>
      <c r="M842" t="str">
        <f t="shared" si="272"/>
        <v>CHRISTY@</v>
      </c>
    </row>
    <row r="843" spans="1:13" x14ac:dyDescent="0.25">
      <c r="A843" t="str">
        <f t="shared" si="262"/>
        <v>10</v>
      </c>
      <c r="B843" t="str">
        <f t="shared" si="263"/>
        <v>066</v>
      </c>
      <c r="C843" t="str">
        <f t="shared" si="264"/>
        <v>3010106</v>
      </c>
      <c r="D843" t="str">
        <f t="shared" si="265"/>
        <v>03</v>
      </c>
      <c r="E843" t="str">
        <f t="shared" si="266"/>
        <v>640100</v>
      </c>
      <c r="F843" t="str">
        <f>"10/31/14"</f>
        <v>10/31/14</v>
      </c>
      <c r="G843" t="str">
        <f>"22711"</f>
        <v>22711</v>
      </c>
      <c r="H843" s="4">
        <v>2760</v>
      </c>
      <c r="I843" s="3"/>
      <c r="J843" t="str">
        <f t="shared" si="267"/>
        <v>NEXGEN MECHANICAL INC</v>
      </c>
      <c r="K843" t="str">
        <f t="shared" si="273"/>
        <v>3319398</v>
      </c>
      <c r="L843" s="2" t="str">
        <f>"MPA-136 7/1/12-9/30/14 (MEDIUM SKILL LEVEL) STRAIGHT TIME"</f>
        <v>MPA-136 7/1/12-9/30/14 (MEDIUM SKILL LEVEL) STRAIGHT TIME</v>
      </c>
      <c r="M843" t="str">
        <f t="shared" si="272"/>
        <v>CHRISTY@</v>
      </c>
    </row>
    <row r="844" spans="1:13" x14ac:dyDescent="0.25">
      <c r="A844" t="str">
        <f t="shared" si="262"/>
        <v>10</v>
      </c>
      <c r="B844" t="str">
        <f t="shared" si="263"/>
        <v>066</v>
      </c>
      <c r="C844" t="str">
        <f t="shared" si="264"/>
        <v>3010106</v>
      </c>
      <c r="D844" t="str">
        <f t="shared" si="265"/>
        <v>03</v>
      </c>
      <c r="E844" t="str">
        <f t="shared" si="266"/>
        <v>640100</v>
      </c>
      <c r="F844" t="str">
        <f>"10/31/14"</f>
        <v>10/31/14</v>
      </c>
      <c r="G844" t="str">
        <f>"22711"</f>
        <v>22711</v>
      </c>
      <c r="H844" s="4">
        <v>999</v>
      </c>
      <c r="I844" s="3"/>
      <c r="J844" t="str">
        <f t="shared" si="267"/>
        <v>NEXGEN MECHANICAL INC</v>
      </c>
      <c r="K844" t="str">
        <f t="shared" si="273"/>
        <v>3319398</v>
      </c>
      <c r="L844" s="2" t="str">
        <f>"MPA-136 7/1/12-9/30/14 MATERIALS &amp; PARTS AT VENDOR'S COST PLUS 20% MARKUP"</f>
        <v>MPA-136 7/1/12-9/30/14 MATERIALS &amp; PARTS AT VENDOR'S COST PLUS 20% MARKUP</v>
      </c>
      <c r="M844" t="str">
        <f>"SVALLANT"</f>
        <v>SVALLANT</v>
      </c>
    </row>
    <row r="845" spans="1:13" ht="30" x14ac:dyDescent="0.25">
      <c r="A845" t="str">
        <f t="shared" si="262"/>
        <v>10</v>
      </c>
      <c r="B845" t="str">
        <f t="shared" si="263"/>
        <v>066</v>
      </c>
      <c r="C845" t="str">
        <f t="shared" si="264"/>
        <v>3010106</v>
      </c>
      <c r="D845" t="str">
        <f t="shared" si="265"/>
        <v>03</v>
      </c>
      <c r="E845" t="str">
        <f t="shared" si="266"/>
        <v>640100</v>
      </c>
      <c r="F845" t="str">
        <f>"10/31/15"</f>
        <v>10/31/15</v>
      </c>
      <c r="G845" t="str">
        <f>"25168"</f>
        <v>25168</v>
      </c>
      <c r="H845" s="4">
        <v>730</v>
      </c>
      <c r="I845" s="3"/>
      <c r="J845" t="str">
        <f t="shared" si="267"/>
        <v>NEXGEN MECHANICAL INC</v>
      </c>
      <c r="K845" t="str">
        <f t="shared" si="273"/>
        <v>3319398</v>
      </c>
      <c r="L845" s="2" t="str">
        <f>"MPA-136 FY16 - MISCELLANEOUS CHARGES - PAID AT $1.00 FOR EVERY $1.00 OF ALLOWABLE EXPENSE"</f>
        <v>MPA-136 FY16 - MISCELLANEOUS CHARGES - PAID AT $1.00 FOR EVERY $1.00 OF ALLOWABLE EXPENSE</v>
      </c>
      <c r="M845" t="str">
        <f>"SVALLANT"</f>
        <v>SVALLANT</v>
      </c>
    </row>
    <row r="846" spans="1:13" x14ac:dyDescent="0.25">
      <c r="A846" t="str">
        <f t="shared" si="262"/>
        <v>10</v>
      </c>
      <c r="B846" t="str">
        <f t="shared" si="263"/>
        <v>066</v>
      </c>
      <c r="C846" t="str">
        <f t="shared" si="264"/>
        <v>3010106</v>
      </c>
      <c r="D846" t="str">
        <f t="shared" si="265"/>
        <v>03</v>
      </c>
      <c r="E846" t="str">
        <f t="shared" si="266"/>
        <v>640100</v>
      </c>
      <c r="F846" t="str">
        <f>"10/31/15"</f>
        <v>10/31/15</v>
      </c>
      <c r="G846" t="str">
        <f>"25204"</f>
        <v>25204</v>
      </c>
      <c r="H846" s="4">
        <v>736</v>
      </c>
      <c r="I846" s="3"/>
      <c r="J846" t="str">
        <f t="shared" si="267"/>
        <v>NEXGEN MECHANICAL INC</v>
      </c>
      <c r="K846" t="str">
        <f t="shared" si="273"/>
        <v>3319398</v>
      </c>
      <c r="L846" s="2" t="str">
        <f>"MPA-136 FY16 - (MEDIUM SKILL LEVEL) STRAIGHT TIME"</f>
        <v>MPA-136 FY16 - (MEDIUM SKILL LEVEL) STRAIGHT TIME</v>
      </c>
      <c r="M846" t="str">
        <f t="shared" ref="M846:M855" si="274">"CHRISTY@"</f>
        <v>CHRISTY@</v>
      </c>
    </row>
    <row r="847" spans="1:13" x14ac:dyDescent="0.25">
      <c r="A847" t="str">
        <f t="shared" si="262"/>
        <v>10</v>
      </c>
      <c r="B847" t="str">
        <f t="shared" si="263"/>
        <v>066</v>
      </c>
      <c r="C847" t="str">
        <f t="shared" si="264"/>
        <v>3010106</v>
      </c>
      <c r="D847" t="str">
        <f t="shared" si="265"/>
        <v>03</v>
      </c>
      <c r="E847" t="str">
        <f t="shared" si="266"/>
        <v>640100</v>
      </c>
      <c r="F847" t="str">
        <f>"10/31/15"</f>
        <v>10/31/15</v>
      </c>
      <c r="G847" t="str">
        <f>"25204"</f>
        <v>25204</v>
      </c>
      <c r="H847" s="4">
        <v>115.05</v>
      </c>
      <c r="I847" s="3"/>
      <c r="J847" t="str">
        <f t="shared" si="267"/>
        <v>NEXGEN MECHANICAL INC</v>
      </c>
      <c r="K847" t="str">
        <f t="shared" si="273"/>
        <v>3319398</v>
      </c>
      <c r="L847" s="2" t="str">
        <f>"MPA-136 FY16 - MATERIALS &amp; PARTS AT VENDOR'S COST PLUS 20% MARKUP"</f>
        <v>MPA-136 FY16 - MATERIALS &amp; PARTS AT VENDOR'S COST PLUS 20% MARKUP</v>
      </c>
      <c r="M847" t="str">
        <f t="shared" si="274"/>
        <v>CHRISTY@</v>
      </c>
    </row>
    <row r="848" spans="1:13" ht="30" x14ac:dyDescent="0.25">
      <c r="A848" t="str">
        <f t="shared" si="262"/>
        <v>10</v>
      </c>
      <c r="B848" t="str">
        <f t="shared" si="263"/>
        <v>066</v>
      </c>
      <c r="C848" t="str">
        <f t="shared" si="264"/>
        <v>3010106</v>
      </c>
      <c r="D848" t="str">
        <f t="shared" si="265"/>
        <v>03</v>
      </c>
      <c r="E848" t="str">
        <f t="shared" si="266"/>
        <v>640100</v>
      </c>
      <c r="F848" t="str">
        <f>"10/31/16"</f>
        <v>10/31/16</v>
      </c>
      <c r="G848" t="str">
        <f>"27547"</f>
        <v>27547</v>
      </c>
      <c r="H848" s="4">
        <v>244</v>
      </c>
      <c r="I848" s="3"/>
      <c r="J848" t="str">
        <f t="shared" si="267"/>
        <v>NEXGEN MECHANICAL INC</v>
      </c>
      <c r="K848" t="str">
        <f>"3448543"</f>
        <v>3448543</v>
      </c>
      <c r="L848" s="2" t="str">
        <f>"MPA-136  FY16-17  REFRIGERATION MASTER 1 - STRAIGHT TIME HOURLY RATE ON-SITE MEDIUM TIER"</f>
        <v>MPA-136  FY16-17  REFRIGERATION MASTER 1 - STRAIGHT TIME HOURLY RATE ON-SITE MEDIUM TIER</v>
      </c>
      <c r="M848" t="str">
        <f t="shared" si="274"/>
        <v>CHRISTY@</v>
      </c>
    </row>
    <row r="849" spans="1:13" ht="30" x14ac:dyDescent="0.25">
      <c r="A849" t="str">
        <f t="shared" si="262"/>
        <v>10</v>
      </c>
      <c r="B849" t="str">
        <f t="shared" si="263"/>
        <v>066</v>
      </c>
      <c r="C849" t="str">
        <f t="shared" si="264"/>
        <v>3010106</v>
      </c>
      <c r="D849" t="str">
        <f t="shared" si="265"/>
        <v>03</v>
      </c>
      <c r="E849" t="str">
        <f t="shared" si="266"/>
        <v>640100</v>
      </c>
      <c r="F849" t="str">
        <f>"10/31/16"</f>
        <v>10/31/16</v>
      </c>
      <c r="G849" t="str">
        <f>"27583"</f>
        <v>27583</v>
      </c>
      <c r="H849" s="4">
        <v>244</v>
      </c>
      <c r="I849" s="3"/>
      <c r="J849" t="str">
        <f t="shared" si="267"/>
        <v>NEXGEN MECHANICAL INC</v>
      </c>
      <c r="K849" t="str">
        <f>"3448543"</f>
        <v>3448543</v>
      </c>
      <c r="L849" s="2" t="str">
        <f>"MPA-136  FY16-17  REFRIGERATION MASTER 1 - STRAIGHT TIME HOURLY RATE ON-SITE MEDIUM TIER"</f>
        <v>MPA-136  FY16-17  REFRIGERATION MASTER 1 - STRAIGHT TIME HOURLY RATE ON-SITE MEDIUM TIER</v>
      </c>
      <c r="M849" t="str">
        <f t="shared" si="274"/>
        <v>CHRISTY@</v>
      </c>
    </row>
    <row r="850" spans="1:13" x14ac:dyDescent="0.25">
      <c r="A850" t="str">
        <f t="shared" si="262"/>
        <v>10</v>
      </c>
      <c r="B850" t="str">
        <f t="shared" si="263"/>
        <v>066</v>
      </c>
      <c r="C850" t="str">
        <f t="shared" si="264"/>
        <v>3010106</v>
      </c>
      <c r="D850" t="str">
        <f t="shared" si="265"/>
        <v>03</v>
      </c>
      <c r="E850" t="str">
        <f t="shared" si="266"/>
        <v>640100</v>
      </c>
      <c r="F850" t="str">
        <f>"11/30/15"</f>
        <v>11/30/15</v>
      </c>
      <c r="G850" t="str">
        <f>"25357"</f>
        <v>25357</v>
      </c>
      <c r="H850" s="4">
        <v>1012</v>
      </c>
      <c r="I850" s="3"/>
      <c r="J850" t="str">
        <f t="shared" si="267"/>
        <v>NEXGEN MECHANICAL INC</v>
      </c>
      <c r="K850" t="str">
        <f>"3319398"</f>
        <v>3319398</v>
      </c>
      <c r="L850" s="2" t="str">
        <f>"MPA-136 FY16 - (MEDIUM SKILL LEVEL) STRAIGHT TIME"</f>
        <v>MPA-136 FY16 - (MEDIUM SKILL LEVEL) STRAIGHT TIME</v>
      </c>
      <c r="M850" t="str">
        <f t="shared" si="274"/>
        <v>CHRISTY@</v>
      </c>
    </row>
    <row r="851" spans="1:13" x14ac:dyDescent="0.25">
      <c r="A851" t="str">
        <f t="shared" si="262"/>
        <v>10</v>
      </c>
      <c r="B851" t="str">
        <f t="shared" si="263"/>
        <v>066</v>
      </c>
      <c r="C851" t="str">
        <f t="shared" si="264"/>
        <v>3010106</v>
      </c>
      <c r="D851" t="str">
        <f t="shared" si="265"/>
        <v>03</v>
      </c>
      <c r="E851" t="str">
        <f t="shared" si="266"/>
        <v>640100</v>
      </c>
      <c r="F851" t="str">
        <f>"11/30/15"</f>
        <v>11/30/15</v>
      </c>
      <c r="G851" t="str">
        <f>"25434"</f>
        <v>25434</v>
      </c>
      <c r="H851" s="4">
        <v>230</v>
      </c>
      <c r="I851" s="3"/>
      <c r="J851" t="str">
        <f t="shared" si="267"/>
        <v>NEXGEN MECHANICAL INC</v>
      </c>
      <c r="K851" t="str">
        <f>"3319398"</f>
        <v>3319398</v>
      </c>
      <c r="L851" s="2" t="str">
        <f>"MPA-136 FY16 - (MEDIUM SKILL LEVEL) STRAIGHT TIME"</f>
        <v>MPA-136 FY16 - (MEDIUM SKILL LEVEL) STRAIGHT TIME</v>
      </c>
      <c r="M851" t="str">
        <f t="shared" si="274"/>
        <v>CHRISTY@</v>
      </c>
    </row>
    <row r="852" spans="1:13" x14ac:dyDescent="0.25">
      <c r="A852" t="str">
        <f t="shared" si="262"/>
        <v>10</v>
      </c>
      <c r="B852" t="str">
        <f t="shared" si="263"/>
        <v>066</v>
      </c>
      <c r="C852" t="str">
        <f t="shared" si="264"/>
        <v>3010106</v>
      </c>
      <c r="D852" t="str">
        <f t="shared" si="265"/>
        <v>03</v>
      </c>
      <c r="E852" t="str">
        <f t="shared" si="266"/>
        <v>640100</v>
      </c>
      <c r="F852" t="str">
        <f>"12/31/15"</f>
        <v>12/31/15</v>
      </c>
      <c r="G852" t="str">
        <f>"25577"</f>
        <v>25577</v>
      </c>
      <c r="H852" s="4">
        <v>214.67</v>
      </c>
      <c r="I852" s="3"/>
      <c r="J852" t="str">
        <f t="shared" si="267"/>
        <v>NEXGEN MECHANICAL INC</v>
      </c>
      <c r="K852" t="str">
        <f>"3319398"</f>
        <v>3319398</v>
      </c>
      <c r="L852" s="2" t="str">
        <f>"MPA-136 FY16 - (MEDIUM SKILL LEVEL) STRAIGHT TIME"</f>
        <v>MPA-136 FY16 - (MEDIUM SKILL LEVEL) STRAIGHT TIME</v>
      </c>
      <c r="M852" t="str">
        <f t="shared" si="274"/>
        <v>CHRISTY@</v>
      </c>
    </row>
    <row r="853" spans="1:13" x14ac:dyDescent="0.25">
      <c r="A853" t="str">
        <f t="shared" si="262"/>
        <v>10</v>
      </c>
      <c r="B853" t="str">
        <f t="shared" si="263"/>
        <v>066</v>
      </c>
      <c r="C853" t="str">
        <f t="shared" si="264"/>
        <v>3010106</v>
      </c>
      <c r="D853" t="str">
        <f t="shared" si="265"/>
        <v>03</v>
      </c>
      <c r="E853" t="str">
        <f t="shared" si="266"/>
        <v>640100</v>
      </c>
      <c r="F853" t="str">
        <f>"12/31/15"</f>
        <v>12/31/15</v>
      </c>
      <c r="G853" t="str">
        <f>"25601"</f>
        <v>25601</v>
      </c>
      <c r="H853" s="4">
        <v>78.44</v>
      </c>
      <c r="I853" s="3"/>
      <c r="J853" t="str">
        <f t="shared" si="267"/>
        <v>NEXGEN MECHANICAL INC</v>
      </c>
      <c r="K853" t="str">
        <f>"3319398"</f>
        <v>3319398</v>
      </c>
      <c r="L853" s="2" t="str">
        <f>"MPA-136 FY16 - (MEDIUM SKILL LEVEL) STRAIGHT TIME"</f>
        <v>MPA-136 FY16 - (MEDIUM SKILL LEVEL) STRAIGHT TIME</v>
      </c>
      <c r="M853" t="str">
        <f t="shared" si="274"/>
        <v>CHRISTY@</v>
      </c>
    </row>
    <row r="854" spans="1:13" x14ac:dyDescent="0.25">
      <c r="A854" t="str">
        <f t="shared" si="262"/>
        <v>10</v>
      </c>
      <c r="B854" t="str">
        <f t="shared" si="263"/>
        <v>066</v>
      </c>
      <c r="C854" t="str">
        <f t="shared" si="264"/>
        <v>3010106</v>
      </c>
      <c r="D854" t="str">
        <f t="shared" si="265"/>
        <v>03</v>
      </c>
      <c r="E854" t="str">
        <f t="shared" si="266"/>
        <v>640100</v>
      </c>
      <c r="F854" t="str">
        <f>"12/31/15"</f>
        <v>12/31/15</v>
      </c>
      <c r="G854" t="str">
        <f>"25634"</f>
        <v>25634</v>
      </c>
      <c r="H854" s="4">
        <v>28.9</v>
      </c>
      <c r="I854" s="3"/>
      <c r="J854" t="str">
        <f t="shared" si="267"/>
        <v>NEXGEN MECHANICAL INC</v>
      </c>
      <c r="K854" t="str">
        <f>"3319398"</f>
        <v>3319398</v>
      </c>
      <c r="L854" s="2" t="str">
        <f>"MPA-136 FY16 - (MEDIUM SKILL LEVEL) STRAIGHT TIME"</f>
        <v>MPA-136 FY16 - (MEDIUM SKILL LEVEL) STRAIGHT TIME</v>
      </c>
      <c r="M854" t="str">
        <f t="shared" si="274"/>
        <v>CHRISTY@</v>
      </c>
    </row>
    <row r="855" spans="1:13" x14ac:dyDescent="0.25">
      <c r="H855" s="6">
        <f>SUM(H814:H854)</f>
        <v>52491.530000000006</v>
      </c>
      <c r="I855" s="6">
        <f>SUM(H814:H854)</f>
        <v>52491.530000000006</v>
      </c>
      <c r="L855" s="2"/>
      <c r="M855" t="str">
        <f t="shared" si="274"/>
        <v>CHRISTY@</v>
      </c>
    </row>
    <row r="856" spans="1:13" x14ac:dyDescent="0.25">
      <c r="H856" s="3"/>
      <c r="I856" s="3"/>
      <c r="L856" s="2"/>
    </row>
    <row r="857" spans="1:13" x14ac:dyDescent="0.25">
      <c r="A857" t="str">
        <f t="shared" ref="A857:A864" si="275">"10"</f>
        <v>10</v>
      </c>
      <c r="B857" t="str">
        <f t="shared" ref="B857:B864" si="276">"066"</f>
        <v>066</v>
      </c>
      <c r="C857" t="str">
        <f t="shared" ref="C857:C864" si="277">"3010106"</f>
        <v>3010106</v>
      </c>
      <c r="D857" t="str">
        <f t="shared" ref="D857:D864" si="278">"03"</f>
        <v>03</v>
      </c>
      <c r="E857" t="str">
        <f t="shared" ref="E857:E864" si="279">"640100"</f>
        <v>640100</v>
      </c>
      <c r="F857" t="str">
        <f>"02/28/15"</f>
        <v>02/28/15</v>
      </c>
      <c r="G857" t="str">
        <f>"4249"</f>
        <v>4249</v>
      </c>
      <c r="H857" s="3">
        <v>744</v>
      </c>
      <c r="I857" s="3"/>
      <c r="J857" t="str">
        <f t="shared" ref="J857:J864" si="280">"NOLIN ELECTRIC INC"</f>
        <v>NOLIN ELECTRIC INC</v>
      </c>
      <c r="K857" t="str">
        <f t="shared" ref="K857:K864" si="281">"3260737"</f>
        <v>3260737</v>
      </c>
      <c r="L857" s="2" t="str">
        <f>"MPA-41 7/1/13-9/30/14 ELECTRICIAN STRAIGHT TIME"</f>
        <v>MPA-41 7/1/13-9/30/14 ELECTRICIAN STRAIGHT TIME</v>
      </c>
    </row>
    <row r="858" spans="1:13" ht="30" x14ac:dyDescent="0.25">
      <c r="A858" t="str">
        <f t="shared" si="275"/>
        <v>10</v>
      </c>
      <c r="B858" t="str">
        <f t="shared" si="276"/>
        <v>066</v>
      </c>
      <c r="C858" t="str">
        <f t="shared" si="277"/>
        <v>3010106</v>
      </c>
      <c r="D858" t="str">
        <f t="shared" si="278"/>
        <v>03</v>
      </c>
      <c r="E858" t="str">
        <f t="shared" si="279"/>
        <v>640100</v>
      </c>
      <c r="F858" t="str">
        <f>"02/28/15"</f>
        <v>02/28/15</v>
      </c>
      <c r="G858" t="str">
        <f>"4249"</f>
        <v>4249</v>
      </c>
      <c r="H858" s="3">
        <v>75</v>
      </c>
      <c r="I858" s="3"/>
      <c r="J858" t="str">
        <f t="shared" si="280"/>
        <v>NOLIN ELECTRIC INC</v>
      </c>
      <c r="K858" t="str">
        <f t="shared" si="281"/>
        <v>3260737</v>
      </c>
      <c r="L858"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858" t="str">
        <f t="shared" ref="M858:M865" si="282">"SVALLANT"</f>
        <v>SVALLANT</v>
      </c>
    </row>
    <row r="859" spans="1:13" x14ac:dyDescent="0.25">
      <c r="A859" t="str">
        <f t="shared" si="275"/>
        <v>10</v>
      </c>
      <c r="B859" t="str">
        <f t="shared" si="276"/>
        <v>066</v>
      </c>
      <c r="C859" t="str">
        <f t="shared" si="277"/>
        <v>3010106</v>
      </c>
      <c r="D859" t="str">
        <f t="shared" si="278"/>
        <v>03</v>
      </c>
      <c r="E859" t="str">
        <f t="shared" si="279"/>
        <v>640100</v>
      </c>
      <c r="F859" t="str">
        <f>"10/31/14"</f>
        <v>10/31/14</v>
      </c>
      <c r="G859" t="str">
        <f>"4146"</f>
        <v>4146</v>
      </c>
      <c r="H859" s="3">
        <v>2055</v>
      </c>
      <c r="I859" s="3"/>
      <c r="J859" t="str">
        <f t="shared" si="280"/>
        <v>NOLIN ELECTRIC INC</v>
      </c>
      <c r="K859" t="str">
        <f t="shared" si="281"/>
        <v>3260737</v>
      </c>
      <c r="L859" s="2" t="str">
        <f>"MPA-41 7/1/13-9/30/14 ELECTRICIAN STRAIGHT TIME"</f>
        <v>MPA-41 7/1/13-9/30/14 ELECTRICIAN STRAIGHT TIME</v>
      </c>
      <c r="M859" t="str">
        <f t="shared" si="282"/>
        <v>SVALLANT</v>
      </c>
    </row>
    <row r="860" spans="1:13" ht="30" x14ac:dyDescent="0.25">
      <c r="A860" t="str">
        <f t="shared" si="275"/>
        <v>10</v>
      </c>
      <c r="B860" t="str">
        <f t="shared" si="276"/>
        <v>066</v>
      </c>
      <c r="C860" t="str">
        <f t="shared" si="277"/>
        <v>3010106</v>
      </c>
      <c r="D860" t="str">
        <f t="shared" si="278"/>
        <v>03</v>
      </c>
      <c r="E860" t="str">
        <f t="shared" si="279"/>
        <v>640100</v>
      </c>
      <c r="F860" t="str">
        <f>"10/31/14"</f>
        <v>10/31/14</v>
      </c>
      <c r="G860" t="str">
        <f>"4146"</f>
        <v>4146</v>
      </c>
      <c r="H860" s="3">
        <v>500</v>
      </c>
      <c r="I860" s="3"/>
      <c r="J860" t="str">
        <f t="shared" si="280"/>
        <v>NOLIN ELECTRIC INC</v>
      </c>
      <c r="K860" t="str">
        <f t="shared" si="281"/>
        <v>3260737</v>
      </c>
      <c r="L860"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860" t="str">
        <f t="shared" si="282"/>
        <v>SVALLANT</v>
      </c>
    </row>
    <row r="861" spans="1:13" x14ac:dyDescent="0.25">
      <c r="A861" t="str">
        <f t="shared" si="275"/>
        <v>10</v>
      </c>
      <c r="B861" t="str">
        <f t="shared" si="276"/>
        <v>066</v>
      </c>
      <c r="C861" t="str">
        <f t="shared" si="277"/>
        <v>3010106</v>
      </c>
      <c r="D861" t="str">
        <f t="shared" si="278"/>
        <v>03</v>
      </c>
      <c r="E861" t="str">
        <f t="shared" si="279"/>
        <v>640100</v>
      </c>
      <c r="F861" t="str">
        <f>"10/31/14"</f>
        <v>10/31/14</v>
      </c>
      <c r="G861" t="str">
        <f>"4176"</f>
        <v>4176</v>
      </c>
      <c r="H861" s="3">
        <v>3014</v>
      </c>
      <c r="I861" s="3"/>
      <c r="J861" t="str">
        <f t="shared" si="280"/>
        <v>NOLIN ELECTRIC INC</v>
      </c>
      <c r="K861" t="str">
        <f t="shared" si="281"/>
        <v>3260737</v>
      </c>
      <c r="L861" s="2" t="str">
        <f>"MPA-41 7/1/13-9/30/14 ELECTRICIAN STRAIGHT TIME"</f>
        <v>MPA-41 7/1/13-9/30/14 ELECTRICIAN STRAIGHT TIME</v>
      </c>
      <c r="M861" t="str">
        <f t="shared" si="282"/>
        <v>SVALLANT</v>
      </c>
    </row>
    <row r="862" spans="1:13" ht="30" x14ac:dyDescent="0.25">
      <c r="A862" t="str">
        <f t="shared" si="275"/>
        <v>10</v>
      </c>
      <c r="B862" t="str">
        <f t="shared" si="276"/>
        <v>066</v>
      </c>
      <c r="C862" t="str">
        <f t="shared" si="277"/>
        <v>3010106</v>
      </c>
      <c r="D862" t="str">
        <f t="shared" si="278"/>
        <v>03</v>
      </c>
      <c r="E862" t="str">
        <f t="shared" si="279"/>
        <v>640100</v>
      </c>
      <c r="F862" t="str">
        <f>"10/31/14"</f>
        <v>10/31/14</v>
      </c>
      <c r="G862" t="str">
        <f>"4176"</f>
        <v>4176</v>
      </c>
      <c r="H862" s="3">
        <v>798</v>
      </c>
      <c r="I862" s="3"/>
      <c r="J862" t="str">
        <f t="shared" si="280"/>
        <v>NOLIN ELECTRIC INC</v>
      </c>
      <c r="K862" t="str">
        <f t="shared" si="281"/>
        <v>3260737</v>
      </c>
      <c r="L862"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862" t="str">
        <f t="shared" si="282"/>
        <v>SVALLANT</v>
      </c>
    </row>
    <row r="863" spans="1:13" ht="30" x14ac:dyDescent="0.25">
      <c r="A863" t="str">
        <f t="shared" si="275"/>
        <v>10</v>
      </c>
      <c r="B863" t="str">
        <f t="shared" si="276"/>
        <v>066</v>
      </c>
      <c r="C863" t="str">
        <f t="shared" si="277"/>
        <v>3010106</v>
      </c>
      <c r="D863" t="str">
        <f t="shared" si="278"/>
        <v>03</v>
      </c>
      <c r="E863" t="str">
        <f t="shared" si="279"/>
        <v>640100</v>
      </c>
      <c r="F863" t="str">
        <f>"11/30/14"</f>
        <v>11/30/14</v>
      </c>
      <c r="G863" t="str">
        <f>"4208"</f>
        <v>4208</v>
      </c>
      <c r="H863" s="3">
        <v>1474</v>
      </c>
      <c r="I863" s="3"/>
      <c r="J863" t="str">
        <f t="shared" si="280"/>
        <v>NOLIN ELECTRIC INC</v>
      </c>
      <c r="K863" t="str">
        <f t="shared" si="281"/>
        <v>3260737</v>
      </c>
      <c r="L863"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863" t="str">
        <f t="shared" si="282"/>
        <v>SVALLANT</v>
      </c>
    </row>
    <row r="864" spans="1:13" x14ac:dyDescent="0.25">
      <c r="A864" t="str">
        <f t="shared" si="275"/>
        <v>10</v>
      </c>
      <c r="B864" t="str">
        <f t="shared" si="276"/>
        <v>066</v>
      </c>
      <c r="C864" t="str">
        <f t="shared" si="277"/>
        <v>3010106</v>
      </c>
      <c r="D864" t="str">
        <f t="shared" si="278"/>
        <v>03</v>
      </c>
      <c r="E864" t="str">
        <f t="shared" si="279"/>
        <v>640100</v>
      </c>
      <c r="F864" t="str">
        <f>"11/30/14"</f>
        <v>11/30/14</v>
      </c>
      <c r="G864" t="str">
        <f>"4208"</f>
        <v>4208</v>
      </c>
      <c r="H864" s="3">
        <v>2466</v>
      </c>
      <c r="I864" s="3"/>
      <c r="J864" t="str">
        <f t="shared" si="280"/>
        <v>NOLIN ELECTRIC INC</v>
      </c>
      <c r="K864" t="str">
        <f t="shared" si="281"/>
        <v>3260737</v>
      </c>
      <c r="L864" s="2" t="str">
        <f>"MPA-41 7/1/13-9/30/14 ELECTRICIAN STRAIGHT TIME"</f>
        <v>MPA-41 7/1/13-9/30/14 ELECTRICIAN STRAIGHT TIME</v>
      </c>
      <c r="M864" t="str">
        <f t="shared" si="282"/>
        <v>SVALLANT</v>
      </c>
    </row>
    <row r="865" spans="1:13" x14ac:dyDescent="0.25">
      <c r="H865" s="6">
        <f>SUM(H857:H864)</f>
        <v>11126</v>
      </c>
      <c r="I865" s="6">
        <f>SUM(H857:H864)</f>
        <v>11126</v>
      </c>
      <c r="L865" s="2"/>
      <c r="M865" t="str">
        <f t="shared" si="282"/>
        <v>SVALLANT</v>
      </c>
    </row>
    <row r="866" spans="1:13" x14ac:dyDescent="0.25">
      <c r="H866" s="3"/>
      <c r="I866" s="3"/>
      <c r="L866" s="2"/>
    </row>
    <row r="867" spans="1:13" x14ac:dyDescent="0.25">
      <c r="A867" t="str">
        <f>"10"</f>
        <v>10</v>
      </c>
      <c r="B867" t="str">
        <f>"066"</f>
        <v>066</v>
      </c>
      <c r="C867" t="str">
        <f>"3010106"</f>
        <v>3010106</v>
      </c>
      <c r="D867" t="str">
        <f>"03"</f>
        <v>03</v>
      </c>
      <c r="E867" t="str">
        <f>"640100"</f>
        <v>640100</v>
      </c>
      <c r="F867" t="str">
        <f>"06/30/15"</f>
        <v>06/30/15</v>
      </c>
      <c r="G867" t="str">
        <f>"S022455812.001"</f>
        <v>S022455812.001</v>
      </c>
      <c r="H867" s="3">
        <v>549.98</v>
      </c>
      <c r="I867" s="3"/>
      <c r="J867" t="str">
        <f>"NORTHEAST ELECTRICAL DISTRIBUTORS"</f>
        <v>NORTHEAST ELECTRICAL DISTRIBUTORS</v>
      </c>
      <c r="K867" t="str">
        <f>"3398657"</f>
        <v>3398657</v>
      </c>
      <c r="L867" s="2" t="str">
        <f>"electrical supplies"</f>
        <v>electrical supplies</v>
      </c>
    </row>
    <row r="868" spans="1:13" x14ac:dyDescent="0.25">
      <c r="A868" t="str">
        <f>"10"</f>
        <v>10</v>
      </c>
      <c r="B868" t="str">
        <f>"066"</f>
        <v>066</v>
      </c>
      <c r="C868" t="str">
        <f>"3010106"</f>
        <v>3010106</v>
      </c>
      <c r="D868" t="str">
        <f>"03"</f>
        <v>03</v>
      </c>
      <c r="E868" t="str">
        <f>"640100"</f>
        <v>640100</v>
      </c>
      <c r="F868" t="str">
        <f>"11/30/14"</f>
        <v>11/30/14</v>
      </c>
      <c r="G868" t="str">
        <f>"S020290440.001"</f>
        <v>S020290440.001</v>
      </c>
      <c r="H868" s="3">
        <v>392.16</v>
      </c>
      <c r="I868" s="3"/>
      <c r="J868" t="str">
        <f>"NORTHEAST ELECTRICAL DISTRIBUTORS"</f>
        <v>NORTHEAST ELECTRICAL DISTRIBUTORS</v>
      </c>
      <c r="K868" t="str">
        <f>"3398657"</f>
        <v>3398657</v>
      </c>
      <c r="L868" s="2" t="str">
        <f>"electrical supplies"</f>
        <v>electrical supplies</v>
      </c>
      <c r="M868" t="str">
        <f>"SVALLANT"</f>
        <v>SVALLANT</v>
      </c>
    </row>
    <row r="869" spans="1:13" x14ac:dyDescent="0.25">
      <c r="H869" s="6">
        <f>SUM(H867:H868)</f>
        <v>942.1400000000001</v>
      </c>
      <c r="I869" s="6">
        <f>SUM(H867:H868)</f>
        <v>942.1400000000001</v>
      </c>
      <c r="L869" s="2"/>
      <c r="M869" t="str">
        <f>"SVALLANT"</f>
        <v>SVALLANT</v>
      </c>
    </row>
    <row r="870" spans="1:13" x14ac:dyDescent="0.25">
      <c r="H870" s="3"/>
      <c r="I870" s="3"/>
      <c r="L870" s="2"/>
    </row>
    <row r="871" spans="1:13" ht="45" x14ac:dyDescent="0.25">
      <c r="A871" t="str">
        <f>"10"</f>
        <v>10</v>
      </c>
      <c r="B871" t="str">
        <f>"066"</f>
        <v>066</v>
      </c>
      <c r="C871" t="str">
        <f>"3010106"</f>
        <v>3010106</v>
      </c>
      <c r="D871" t="str">
        <f>"03"</f>
        <v>03</v>
      </c>
      <c r="E871" t="str">
        <f>"642500"</f>
        <v>642500</v>
      </c>
      <c r="F871" t="str">
        <f>"04/30/17"</f>
        <v>04/30/17</v>
      </c>
      <c r="G871" t="str">
        <f>"107774"</f>
        <v>107774</v>
      </c>
      <c r="H871" s="3">
        <v>360</v>
      </c>
      <c r="I871" s="3"/>
      <c r="J871" t="str">
        <f>"NORTH-EASTERN TREE SERVICE INC"</f>
        <v>NORTH-EASTERN TREE SERVICE INC</v>
      </c>
      <c r="K871" t="str">
        <f>"3498627"</f>
        <v>3498627</v>
      </c>
      <c r="L871" s="2" t="str">
        <f>"MPA-372 - FY17-18 TIER 1 SERVICE: HOURLY RATE FOR DUMP TRUCK WITH LOG AND BRUSH LOADING MACHINERY WITH OPERATOR. DUMP TRUCK MUST HAVE MINIMUM HAULING CAPACITY OF 15 CUBIC YARDS OF VEGETATIVE"</f>
        <v>MPA-372 - FY17-18 TIER 1 SERVICE: HOURLY RATE FOR DUMP TRUCK WITH LOG AND BRUSH LOADING MACHINERY WITH OPERATOR. DUMP TRUCK MUST HAVE MINIMUM HAULING CAPACITY OF 15 CUBIC YARDS OF VEGETATIVE</v>
      </c>
    </row>
    <row r="872" spans="1:13" ht="30" x14ac:dyDescent="0.25">
      <c r="A872" t="str">
        <f>"10"</f>
        <v>10</v>
      </c>
      <c r="B872" t="str">
        <f>"066"</f>
        <v>066</v>
      </c>
      <c r="C872" t="str">
        <f>"3010106"</f>
        <v>3010106</v>
      </c>
      <c r="D872" t="str">
        <f>"03"</f>
        <v>03</v>
      </c>
      <c r="E872" t="str">
        <f>"642500"</f>
        <v>642500</v>
      </c>
      <c r="F872" t="str">
        <f>"04/30/17"</f>
        <v>04/30/17</v>
      </c>
      <c r="G872" t="str">
        <f>"107774"</f>
        <v>107774</v>
      </c>
      <c r="H872" s="4">
        <v>2040</v>
      </c>
      <c r="I872" s="3"/>
      <c r="J872" t="str">
        <f>"NORTH-EASTERN TREE SERVICE INC"</f>
        <v>NORTH-EASTERN TREE SERVICE INC</v>
      </c>
      <c r="K872" t="str">
        <f>"3498627"</f>
        <v>3498627</v>
      </c>
      <c r="L872" s="2" t="str">
        <f>"MPA-372 - FY17-18 TIER 1 SERVICE: HOURLY RATE FOR A CREW CONSISTING OF OF 3 MEN, 1 BUCKET, 1 CHIP TRUCK AND 1 CHIPPER, OVERTIME, PER BID SPECIFICATIONS"</f>
        <v>MPA-372 - FY17-18 TIER 1 SERVICE: HOURLY RATE FOR A CREW CONSISTING OF OF 3 MEN, 1 BUCKET, 1 CHIP TRUCK AND 1 CHIPPER, OVERTIME, PER BID SPECIFICATIONS</v>
      </c>
      <c r="M872" t="str">
        <f>"SVALLANT"</f>
        <v>SVALLANT</v>
      </c>
    </row>
    <row r="873" spans="1:13" ht="30" x14ac:dyDescent="0.25">
      <c r="A873" t="str">
        <f>"10"</f>
        <v>10</v>
      </c>
      <c r="B873" t="str">
        <f>"066"</f>
        <v>066</v>
      </c>
      <c r="C873" t="str">
        <f>"3010106"</f>
        <v>3010106</v>
      </c>
      <c r="D873" t="str">
        <f>"03"</f>
        <v>03</v>
      </c>
      <c r="E873" t="str">
        <f>"642500"</f>
        <v>642500</v>
      </c>
      <c r="F873" t="str">
        <f>"09/30/16"</f>
        <v>09/30/16</v>
      </c>
      <c r="G873" t="str">
        <f>"104208"</f>
        <v>104208</v>
      </c>
      <c r="H873" s="3">
        <v>1680</v>
      </c>
      <c r="I873" s="3"/>
      <c r="J873" t="str">
        <f>"NORTH-EASTERN TREE SERVICE INC"</f>
        <v>NORTH-EASTERN TREE SERVICE INC</v>
      </c>
      <c r="K873" t="str">
        <f>"3396339"</f>
        <v>3396339</v>
      </c>
      <c r="L873" s="2" t="str">
        <f>"MPA-372 - FY17  TIER 1 SERVICE: HOURLY RATE FOR A CREW CONSISTING OF 3 MEN, 1 BUCKET, 1 CHIP TRUCK AND 1 CHIPPER, (REGULAR BUSINESS HOURS)"</f>
        <v>MPA-372 - FY17  TIER 1 SERVICE: HOURLY RATE FOR A CREW CONSISTING OF 3 MEN, 1 BUCKET, 1 CHIP TRUCK AND 1 CHIPPER, (REGULAR BUSINESS HOURS)</v>
      </c>
      <c r="M873" t="str">
        <f>"SVALLANT"</f>
        <v>SVALLANT</v>
      </c>
    </row>
    <row r="874" spans="1:13" x14ac:dyDescent="0.25">
      <c r="H874" s="6">
        <f>SUM(H871:H873)</f>
        <v>4080</v>
      </c>
      <c r="I874" s="6">
        <f>SUM(H871:H873)</f>
        <v>4080</v>
      </c>
      <c r="L874" s="2"/>
      <c r="M874" t="str">
        <f>"NETREE44"</f>
        <v>NETREE44</v>
      </c>
    </row>
    <row r="875" spans="1:13" x14ac:dyDescent="0.25">
      <c r="H875" s="3"/>
      <c r="I875" s="3"/>
      <c r="L875" s="2"/>
    </row>
    <row r="876" spans="1:13" ht="45" x14ac:dyDescent="0.25">
      <c r="A876" t="str">
        <f>"10"</f>
        <v>10</v>
      </c>
      <c r="B876" t="str">
        <f>"066"</f>
        <v>066</v>
      </c>
      <c r="C876" t="str">
        <f>"3010106"</f>
        <v>3010106</v>
      </c>
      <c r="D876" t="str">
        <f>"03"</f>
        <v>03</v>
      </c>
      <c r="E876" t="str">
        <f>"648400"</f>
        <v>648400</v>
      </c>
      <c r="F876" t="str">
        <f>"05/31/17"</f>
        <v>05/31/17</v>
      </c>
      <c r="G876" t="str">
        <f>"RIAG-17-2"</f>
        <v>RIAG-17-2</v>
      </c>
      <c r="H876" s="6">
        <v>24000</v>
      </c>
      <c r="I876" s="6">
        <f>SUM(H876)</f>
        <v>24000</v>
      </c>
      <c r="J876" t="str">
        <f>"OSHEAN INC"</f>
        <v>OSHEAN INC</v>
      </c>
      <c r="K876" t="str">
        <f>"3490860"</f>
        <v>3490860</v>
      </c>
      <c r="L876" s="2" t="str">
        <f>"Relocation of our OSHEAN fiber optic feed from the court's 6509 core switch to an OSHEAN owned and controlled switch at 250 Benefit Street.  Project will increase security of transmissions a"</f>
        <v>Relocation of our OSHEAN fiber optic feed from the court's 6509 core switch to an OSHEAN owned and controlled switch at 250 Benefit Street.  Project will increase security of transmissions a</v>
      </c>
    </row>
    <row r="877" spans="1:13" x14ac:dyDescent="0.25">
      <c r="H877" s="3"/>
      <c r="I877" s="3"/>
      <c r="L877" s="2"/>
      <c r="M877" t="str">
        <f>"MFUSCO"</f>
        <v>MFUSCO</v>
      </c>
    </row>
    <row r="878" spans="1:13" ht="30" x14ac:dyDescent="0.25">
      <c r="A878" t="str">
        <f>"10"</f>
        <v>10</v>
      </c>
      <c r="B878" t="str">
        <f>"066"</f>
        <v>066</v>
      </c>
      <c r="C878" t="str">
        <f>"3010106"</f>
        <v>3010106</v>
      </c>
      <c r="D878" t="str">
        <f>"03"</f>
        <v>03</v>
      </c>
      <c r="E878" t="str">
        <f>"661351"</f>
        <v>661351</v>
      </c>
      <c r="F878" t="str">
        <f>"05/31/17"</f>
        <v>05/31/17</v>
      </c>
      <c r="G878" t="str">
        <f>"0000003 - AG"</f>
        <v>0000003 - AG</v>
      </c>
      <c r="H878" s="3">
        <v>1026</v>
      </c>
      <c r="I878" s="3"/>
      <c r="J878" t="str">
        <f>"PARE CORPORATION"</f>
        <v>PARE CORPORATION</v>
      </c>
      <c r="K878" t="str">
        <f>"3479847"</f>
        <v>3479847</v>
      </c>
      <c r="L878" s="2" t="str">
        <f>"PROFESSIONAL STRUCTURAL ENGINEERING DESIGN SERVICES FOR GENERATOR AT 180 SOUTH MAIN STREET BUILDING"</f>
        <v>PROFESSIONAL STRUCTURAL ENGINEERING DESIGN SERVICES FOR GENERATOR AT 180 SOUTH MAIN STREET BUILDING</v>
      </c>
    </row>
    <row r="879" spans="1:13" ht="30" x14ac:dyDescent="0.25">
      <c r="A879" t="str">
        <f>"10"</f>
        <v>10</v>
      </c>
      <c r="B879" t="str">
        <f>"066"</f>
        <v>066</v>
      </c>
      <c r="C879" t="str">
        <f>"3010106"</f>
        <v>3010106</v>
      </c>
      <c r="D879" t="str">
        <f>"03"</f>
        <v>03</v>
      </c>
      <c r="E879" t="str">
        <f>"661351"</f>
        <v>661351</v>
      </c>
      <c r="F879" t="str">
        <f>"06/30/16"</f>
        <v>06/30/16</v>
      </c>
      <c r="G879" t="str">
        <f>"0000001 - AG"</f>
        <v>0000001 - AG</v>
      </c>
      <c r="H879" s="3">
        <v>1150</v>
      </c>
      <c r="I879" s="3"/>
      <c r="J879" t="str">
        <f>"PARE CORPORATION"</f>
        <v>PARE CORPORATION</v>
      </c>
      <c r="K879" t="str">
        <f>"3471656"</f>
        <v>3471656</v>
      </c>
      <c r="L879" s="2" t="str">
        <f>"PROFESSIONAL STRUCTURAL ENGINEERING DESIGN SERVICES FOR GENERATOR AT 180 SOUTH MAIN STREET BUILDING"</f>
        <v>PROFESSIONAL STRUCTURAL ENGINEERING DESIGN SERVICES FOR GENERATOR AT 180 SOUTH MAIN STREET BUILDING</v>
      </c>
      <c r="M879" t="str">
        <f>"SVALLANT"</f>
        <v>SVALLANT</v>
      </c>
    </row>
    <row r="880" spans="1:13" ht="30" x14ac:dyDescent="0.25">
      <c r="A880" t="str">
        <f>"10"</f>
        <v>10</v>
      </c>
      <c r="B880" t="str">
        <f>"066"</f>
        <v>066</v>
      </c>
      <c r="C880" t="str">
        <f>"3010106"</f>
        <v>3010106</v>
      </c>
      <c r="D880" t="str">
        <f>"03"</f>
        <v>03</v>
      </c>
      <c r="E880" t="str">
        <f>"661351"</f>
        <v>661351</v>
      </c>
      <c r="F880" t="str">
        <f>"06/30/17"</f>
        <v>06/30/17</v>
      </c>
      <c r="G880" t="str">
        <f>"0000004 - AG"</f>
        <v>0000004 - AG</v>
      </c>
      <c r="H880" s="3">
        <v>999</v>
      </c>
      <c r="I880" s="3"/>
      <c r="J880" t="str">
        <f>"PARE CORPORATION"</f>
        <v>PARE CORPORATION</v>
      </c>
      <c r="K880" t="str">
        <f>"3479847"</f>
        <v>3479847</v>
      </c>
      <c r="L880" s="2" t="str">
        <f>"PROFESSIONAL STRUCTURAL ENGINEERING DESIGN SERVICES FOR GENERATOR AT 180 SOUTH MAIN STREET BUILDING"</f>
        <v>PROFESSIONAL STRUCTURAL ENGINEERING DESIGN SERVICES FOR GENERATOR AT 180 SOUTH MAIN STREET BUILDING</v>
      </c>
      <c r="M880" t="str">
        <f>"SVALLANT"</f>
        <v>SVALLANT</v>
      </c>
    </row>
    <row r="881" spans="1:13" ht="30" x14ac:dyDescent="0.25">
      <c r="A881" t="str">
        <f>"10"</f>
        <v>10</v>
      </c>
      <c r="B881" t="str">
        <f>"066"</f>
        <v>066</v>
      </c>
      <c r="C881" t="str">
        <f>"3010106"</f>
        <v>3010106</v>
      </c>
      <c r="D881" t="str">
        <f>"03"</f>
        <v>03</v>
      </c>
      <c r="E881" t="str">
        <f>"661351"</f>
        <v>661351</v>
      </c>
      <c r="F881" t="str">
        <f>"09/30/16"</f>
        <v>09/30/16</v>
      </c>
      <c r="G881" t="str">
        <f>"0000002 - AG"</f>
        <v>0000002 - AG</v>
      </c>
      <c r="H881" s="3">
        <v>3450</v>
      </c>
      <c r="I881" s="3"/>
      <c r="J881" t="str">
        <f>"PARE CORPORATION"</f>
        <v>PARE CORPORATION</v>
      </c>
      <c r="K881" t="str">
        <f>"3479847"</f>
        <v>3479847</v>
      </c>
      <c r="L881" s="2" t="str">
        <f>"PROFESSIONAL STRUCTURAL ENGINEERING DESIGN SERVICES FOR GENERATOR AT 180 SOUTH MAIN STREET BUILDING"</f>
        <v>PROFESSIONAL STRUCTURAL ENGINEERING DESIGN SERVICES FOR GENERATOR AT 180 SOUTH MAIN STREET BUILDING</v>
      </c>
      <c r="M881" t="str">
        <f>"SVALLANT"</f>
        <v>SVALLANT</v>
      </c>
    </row>
    <row r="882" spans="1:13" x14ac:dyDescent="0.25">
      <c r="H882" s="6">
        <f>SUM(H878:H881)</f>
        <v>6625</v>
      </c>
      <c r="I882" s="6">
        <f>SUM(H878:H881)</f>
        <v>6625</v>
      </c>
      <c r="L882" s="2"/>
      <c r="M882" t="str">
        <f>"SVALLANT"</f>
        <v>SVALLANT</v>
      </c>
    </row>
    <row r="883" spans="1:13" x14ac:dyDescent="0.25">
      <c r="H883" s="3"/>
      <c r="I883" s="3"/>
      <c r="L883" s="2"/>
    </row>
    <row r="884" spans="1:13" x14ac:dyDescent="0.25">
      <c r="A884" t="str">
        <f>"10"</f>
        <v>10</v>
      </c>
      <c r="B884" t="str">
        <f>"066"</f>
        <v>066</v>
      </c>
      <c r="C884" t="str">
        <f>"3010106"</f>
        <v>3010106</v>
      </c>
      <c r="D884" t="str">
        <f>"03"</f>
        <v>03</v>
      </c>
      <c r="E884" t="str">
        <f>"640100"</f>
        <v>640100</v>
      </c>
      <c r="F884" t="str">
        <f>"11/30/16"</f>
        <v>11/30/16</v>
      </c>
      <c r="G884" t="str">
        <f>"16195"</f>
        <v>16195</v>
      </c>
      <c r="H884" s="6">
        <v>1250</v>
      </c>
      <c r="I884" s="6">
        <f>SUM(H884)</f>
        <v>1250</v>
      </c>
      <c r="J884" t="str">
        <f>"PAUL ANDERSON DRAIN CLEANING INC"</f>
        <v>PAUL ANDERSON DRAIN CLEANING INC</v>
      </c>
      <c r="K884" t="str">
        <f>"3493539"</f>
        <v>3493539</v>
      </c>
      <c r="L884" s="2" t="str">
        <f>"catch basin cleaning - 180 South Main Street"</f>
        <v>catch basin cleaning - 180 South Main Street</v>
      </c>
    </row>
    <row r="885" spans="1:13" x14ac:dyDescent="0.25">
      <c r="H885" s="3"/>
      <c r="I885" s="3"/>
      <c r="L885" s="2"/>
      <c r="M885" t="str">
        <f>"SVALLANT"</f>
        <v>SVALLANT</v>
      </c>
    </row>
    <row r="886" spans="1:13" x14ac:dyDescent="0.25">
      <c r="A886" t="str">
        <f>"10"</f>
        <v>10</v>
      </c>
      <c r="B886" t="str">
        <f>"066"</f>
        <v>066</v>
      </c>
      <c r="C886" t="str">
        <f>"3010106"</f>
        <v>3010106</v>
      </c>
      <c r="D886" t="str">
        <f>"03"</f>
        <v>03</v>
      </c>
      <c r="E886" t="str">
        <f>"643710"</f>
        <v>643710</v>
      </c>
      <c r="F886" t="str">
        <f>"06/30/14"</f>
        <v>06/30/14</v>
      </c>
      <c r="G886" t="str">
        <f>"NEIL KELLY"</f>
        <v>NEIL KELLY</v>
      </c>
      <c r="H886" s="3">
        <v>11950</v>
      </c>
      <c r="I886" s="3"/>
      <c r="J886" t="str">
        <f>"PRESIDENT AND FELLOWS OF HARVARD COLLEGE"</f>
        <v>PRESIDENT AND FELLOWS OF HARVARD COLLEGE</v>
      </c>
      <c r="K886" t="str">
        <f>"3379912"</f>
        <v>3379912</v>
      </c>
      <c r="L886" s="2" t="str">
        <f>"COURSE FOR N. KELLY - SENIOR EXECUTIVES IN STATE &amp; LOCAL GOVERNMENT"</f>
        <v>COURSE FOR N. KELLY - SENIOR EXECUTIVES IN STATE &amp; LOCAL GOVERNMENT</v>
      </c>
    </row>
    <row r="887" spans="1:13" x14ac:dyDescent="0.25">
      <c r="A887" t="str">
        <f>"10"</f>
        <v>10</v>
      </c>
      <c r="B887" t="str">
        <f>"066"</f>
        <v>066</v>
      </c>
      <c r="C887" t="str">
        <f>"3010106"</f>
        <v>3010106</v>
      </c>
      <c r="D887" t="str">
        <f>"03"</f>
        <v>03</v>
      </c>
      <c r="E887" t="str">
        <f>"643710"</f>
        <v>643710</v>
      </c>
      <c r="F887" t="str">
        <f>"08/31/15"</f>
        <v>08/31/15</v>
      </c>
      <c r="G887" t="str">
        <f>"570273"</f>
        <v>570273</v>
      </c>
      <c r="H887" s="4">
        <v>12400</v>
      </c>
      <c r="I887" s="3"/>
      <c r="J887" t="str">
        <f>"PRESIDENT AND FELLOWS OF HARVARD COLLEGE"</f>
        <v>PRESIDENT AND FELLOWS OF HARVARD COLLEGE</v>
      </c>
      <c r="K887" t="str">
        <f>"3433614"</f>
        <v>3433614</v>
      </c>
      <c r="L887" s="2" t="str">
        <f>"COURSE FOR E. CARLUCCI - STATE &amp; LOCAL GOVERNMENT"</f>
        <v>COURSE FOR E. CARLUCCI - STATE &amp; LOCAL GOVERNMENT</v>
      </c>
      <c r="M887" t="str">
        <f>"MFUSCO"</f>
        <v>MFUSCO</v>
      </c>
    </row>
    <row r="888" spans="1:13" x14ac:dyDescent="0.25">
      <c r="A888" t="str">
        <f>"10"</f>
        <v>10</v>
      </c>
      <c r="B888" t="str">
        <f>"066"</f>
        <v>066</v>
      </c>
      <c r="C888" t="str">
        <f>"3010106"</f>
        <v>3010106</v>
      </c>
      <c r="D888" t="str">
        <f>"03"</f>
        <v>03</v>
      </c>
      <c r="E888" t="str">
        <f>"643710"</f>
        <v>643710</v>
      </c>
      <c r="F888" t="str">
        <f>"09/30/15"</f>
        <v>09/30/15</v>
      </c>
      <c r="G888" t="str">
        <f>"570393"</f>
        <v>570393</v>
      </c>
      <c r="H888" s="3">
        <v>7200</v>
      </c>
      <c r="I888" s="3"/>
      <c r="J888" t="str">
        <f>"PRESIDENT AND FELLOWS OF HARVARD COLLEGE"</f>
        <v>PRESIDENT AND FELLOWS OF HARVARD COLLEGE</v>
      </c>
      <c r="K888" t="str">
        <f>"3434888"</f>
        <v>3434888</v>
      </c>
      <c r="L888" s="2" t="str">
        <f>"COURSE FOR R. PARTINGTON - WOMEN AND POWER"</f>
        <v>COURSE FOR R. PARTINGTON - WOMEN AND POWER</v>
      </c>
      <c r="M888" t="str">
        <f>"MFUSCO"</f>
        <v>MFUSCO</v>
      </c>
    </row>
    <row r="889" spans="1:13" x14ac:dyDescent="0.25">
      <c r="H889" s="6">
        <f>SUM(H886:H888)</f>
        <v>31550</v>
      </c>
      <c r="I889" s="6">
        <f>SUM(H886:H888)</f>
        <v>31550</v>
      </c>
      <c r="L889" s="2"/>
      <c r="M889" t="str">
        <f>"MFUSCO"</f>
        <v>MFUSCO</v>
      </c>
    </row>
    <row r="890" spans="1:13" x14ac:dyDescent="0.25">
      <c r="H890" s="3"/>
      <c r="I890" s="3"/>
      <c r="L890" s="2"/>
    </row>
    <row r="891" spans="1:13" ht="30" x14ac:dyDescent="0.25">
      <c r="A891" t="str">
        <f>"10"</f>
        <v>10</v>
      </c>
      <c r="B891" t="str">
        <f>"066"</f>
        <v>066</v>
      </c>
      <c r="C891" t="str">
        <f>"3010106"</f>
        <v>3010106</v>
      </c>
      <c r="D891" t="str">
        <f>"03"</f>
        <v>03</v>
      </c>
      <c r="E891" t="str">
        <f>"639600"</f>
        <v>639600</v>
      </c>
      <c r="F891" t="str">
        <f>"04/30/14"</f>
        <v>04/30/14</v>
      </c>
      <c r="G891" t="str">
        <f>"246,733-520"</f>
        <v>246,733-520</v>
      </c>
      <c r="H891" s="3">
        <v>500</v>
      </c>
      <c r="I891" s="3"/>
      <c r="J891" t="str">
        <f>"PROVIDENCE CITY OF"</f>
        <v>PROVIDENCE CITY OF</v>
      </c>
      <c r="K891" t="str">
        <f>""</f>
        <v/>
      </c>
      <c r="L891" s="2" t="str">
        <f>"INV: 246,733-520 - FIRE BOX 7911; ACCT: 13-212914 - 2013 BALANCE - 180 SOUTH MAIN STREET LOCATION"</f>
        <v>INV: 246,733-520 - FIRE BOX 7911; ACCT: 13-212914 - 2013 BALANCE - 180 SOUTH MAIN STREET LOCATION</v>
      </c>
    </row>
    <row r="892" spans="1:13" x14ac:dyDescent="0.25">
      <c r="A892" t="str">
        <f>"10"</f>
        <v>10</v>
      </c>
      <c r="B892" t="str">
        <f>"066"</f>
        <v>066</v>
      </c>
      <c r="C892" t="str">
        <f>"3010106"</f>
        <v>3010106</v>
      </c>
      <c r="D892" t="str">
        <f>"03"</f>
        <v>03</v>
      </c>
      <c r="E892" t="str">
        <f>"643160"</f>
        <v>643160</v>
      </c>
      <c r="F892" t="str">
        <f>"04/30/15"</f>
        <v>04/30/15</v>
      </c>
      <c r="G892" t="str">
        <f>"261,944-49"</f>
        <v>261,944-49</v>
      </c>
      <c r="H892" s="3">
        <v>500</v>
      </c>
      <c r="I892" s="3"/>
      <c r="J892" t="str">
        <f>"PROVIDENCE CITY OF"</f>
        <v>PROVIDENCE CITY OF</v>
      </c>
      <c r="K892" t="str">
        <f>""</f>
        <v/>
      </c>
      <c r="L892" s="2" t="str">
        <f>"FIRE BOX FOR 180 SOUTH MAIN STREET, PROVIDENCE"</f>
        <v>FIRE BOX FOR 180 SOUTH MAIN STREET, PROVIDENCE</v>
      </c>
      <c r="M892" t="str">
        <f>"SVALLANT"</f>
        <v>SVALLANT</v>
      </c>
    </row>
    <row r="893" spans="1:13" x14ac:dyDescent="0.25">
      <c r="A893" t="str">
        <f>"10"</f>
        <v>10</v>
      </c>
      <c r="B893" t="str">
        <f>"066"</f>
        <v>066</v>
      </c>
      <c r="C893" t="str">
        <f>"3010106"</f>
        <v>3010106</v>
      </c>
      <c r="D893" t="str">
        <f>"03"</f>
        <v>03</v>
      </c>
      <c r="E893" t="str">
        <f>"643160"</f>
        <v>643160</v>
      </c>
      <c r="F893" t="str">
        <f>"05/31/17"</f>
        <v>05/31/17</v>
      </c>
      <c r="G893" t="str">
        <f>"17066MEF0525"</f>
        <v>17066MEF0525</v>
      </c>
      <c r="H893" s="3">
        <v>500</v>
      </c>
      <c r="I893" s="3"/>
      <c r="J893" t="str">
        <f>"PROVIDENCE CITY OF"</f>
        <v>PROVIDENCE CITY OF</v>
      </c>
      <c r="K893" t="str">
        <f>""</f>
        <v/>
      </c>
      <c r="L893" s="2" t="str">
        <f>"2016 FIRE BOX 7911"</f>
        <v>2016 FIRE BOX 7911</v>
      </c>
      <c r="M893" t="str">
        <f>"MFUSCO"</f>
        <v>MFUSCO</v>
      </c>
    </row>
    <row r="894" spans="1:13" x14ac:dyDescent="0.25">
      <c r="A894" t="str">
        <f>"10"</f>
        <v>10</v>
      </c>
      <c r="B894" t="str">
        <f>"066"</f>
        <v>066</v>
      </c>
      <c r="C894" t="str">
        <f>"3010106"</f>
        <v>3010106</v>
      </c>
      <c r="D894" t="str">
        <f>"03"</f>
        <v>03</v>
      </c>
      <c r="E894" t="str">
        <f>"643160"</f>
        <v>643160</v>
      </c>
      <c r="F894" t="str">
        <f>"12/31/15"</f>
        <v>12/31/15</v>
      </c>
      <c r="G894" t="str">
        <f>"16066MEF0337"</f>
        <v>16066MEF0337</v>
      </c>
      <c r="H894" s="3">
        <v>500</v>
      </c>
      <c r="I894" s="3"/>
      <c r="J894" t="str">
        <f>"PROVIDENCE CITY OF"</f>
        <v>PROVIDENCE CITY OF</v>
      </c>
      <c r="K894" t="str">
        <f>""</f>
        <v/>
      </c>
      <c r="L894" s="2" t="str">
        <f>"FIRE BOX 7911 PAYMENT"</f>
        <v>FIRE BOX 7911 PAYMENT</v>
      </c>
      <c r="M894" t="str">
        <f>"MFUSCO"</f>
        <v>MFUSCO</v>
      </c>
    </row>
    <row r="895" spans="1:13" x14ac:dyDescent="0.25">
      <c r="A895" t="str">
        <f>"10"</f>
        <v>10</v>
      </c>
      <c r="B895" t="str">
        <f>"066"</f>
        <v>066</v>
      </c>
      <c r="C895" t="str">
        <f>"3010106"</f>
        <v>3010106</v>
      </c>
      <c r="D895" t="str">
        <f>"03"</f>
        <v>03</v>
      </c>
      <c r="E895" t="str">
        <f>"661201"</f>
        <v>661201</v>
      </c>
      <c r="F895" t="str">
        <f>"06/30/14"</f>
        <v>06/30/14</v>
      </c>
      <c r="G895" t="str">
        <f>"REAL ESTATE TAXES"</f>
        <v>REAL ESTATE TAXES</v>
      </c>
      <c r="H895" s="3">
        <v>10365.19</v>
      </c>
      <c r="I895" s="3"/>
      <c r="J895" t="str">
        <f>"PROVIDENCE CITY OF"</f>
        <v>PROVIDENCE CITY OF</v>
      </c>
      <c r="K895" t="str">
        <f>""</f>
        <v/>
      </c>
      <c r="L895" s="2" t="str">
        <f>"REAL ESTATE TAXES ON 180 SOUTH MAIN STREET (1/1/14-2/13/14)"</f>
        <v>REAL ESTATE TAXES ON 180 SOUTH MAIN STREET (1/1/14-2/13/14)</v>
      </c>
      <c r="M895" t="str">
        <f>"MFUSCO"</f>
        <v>MFUSCO</v>
      </c>
    </row>
    <row r="896" spans="1:13" x14ac:dyDescent="0.25">
      <c r="H896" s="6">
        <f>SUM(H891:H895)</f>
        <v>12365.19</v>
      </c>
      <c r="I896" s="6">
        <f>SUM(H891:H895)</f>
        <v>12365.19</v>
      </c>
      <c r="L896" s="2"/>
      <c r="M896" t="str">
        <f>"MFUSCO"</f>
        <v>MFUSCO</v>
      </c>
    </row>
    <row r="897" spans="1:13" x14ac:dyDescent="0.25">
      <c r="H897" s="3"/>
      <c r="I897" s="3"/>
      <c r="L897" s="2"/>
    </row>
    <row r="898" spans="1:13" x14ac:dyDescent="0.25">
      <c r="A898" t="str">
        <f t="shared" ref="A898:A961" si="283">"10"</f>
        <v>10</v>
      </c>
      <c r="B898" t="str">
        <f t="shared" ref="B898:B961" si="284">"066"</f>
        <v>066</v>
      </c>
      <c r="C898" t="str">
        <f t="shared" ref="C898:C961" si="285">"3010106"</f>
        <v>3010106</v>
      </c>
      <c r="D898" t="str">
        <f t="shared" ref="D898:D961" si="286">"03"</f>
        <v>03</v>
      </c>
      <c r="E898" t="str">
        <f>"643110"</f>
        <v>643110</v>
      </c>
      <c r="F898" t="str">
        <f>"03/31/14"</f>
        <v>03/31/14</v>
      </c>
      <c r="G898" t="str">
        <f>"ACCT817144"</f>
        <v>ACCT817144</v>
      </c>
      <c r="H898" s="3">
        <v>292.02999999999997</v>
      </c>
      <c r="I898" s="3"/>
      <c r="J898" t="str">
        <f t="shared" ref="J898:J961" si="287">"PROVIDENCE WATER SUPPLY BOARD"</f>
        <v>PROVIDENCE WATER SUPPLY BOARD</v>
      </c>
      <c r="K898" t="str">
        <f>""</f>
        <v/>
      </c>
      <c r="L898" s="2" t="str">
        <f>"ACCT#817144-1/8-2/14/14"</f>
        <v>ACCT#817144-1/8-2/14/14</v>
      </c>
    </row>
    <row r="899" spans="1:13" x14ac:dyDescent="0.25">
      <c r="A899" t="str">
        <f t="shared" si="283"/>
        <v>10</v>
      </c>
      <c r="B899" t="str">
        <f t="shared" si="284"/>
        <v>066</v>
      </c>
      <c r="C899" t="str">
        <f t="shared" si="285"/>
        <v>3010106</v>
      </c>
      <c r="D899" t="str">
        <f t="shared" si="286"/>
        <v>03</v>
      </c>
      <c r="E899" t="str">
        <f>"643110"</f>
        <v>643110</v>
      </c>
      <c r="F899" t="str">
        <f>"03/31/14"</f>
        <v>03/31/14</v>
      </c>
      <c r="G899" t="str">
        <f>"ACCT817145"</f>
        <v>ACCT817145</v>
      </c>
      <c r="H899" s="3">
        <v>11.6</v>
      </c>
      <c r="I899" s="3"/>
      <c r="J899" t="str">
        <f t="shared" si="287"/>
        <v>PROVIDENCE WATER SUPPLY BOARD</v>
      </c>
      <c r="K899" t="str">
        <f>""</f>
        <v/>
      </c>
      <c r="L899" s="2" t="str">
        <f>"ACCT#817145-2/7-2/21/14"</f>
        <v>ACCT#817145-2/7-2/21/14</v>
      </c>
      <c r="M899" t="str">
        <f t="shared" ref="M899:M962" si="288">"MFUSCO"</f>
        <v>MFUSCO</v>
      </c>
    </row>
    <row r="900" spans="1:13" x14ac:dyDescent="0.25">
      <c r="A900" t="str">
        <f t="shared" si="283"/>
        <v>10</v>
      </c>
      <c r="B900" t="str">
        <f t="shared" si="284"/>
        <v>066</v>
      </c>
      <c r="C900" t="str">
        <f t="shared" si="285"/>
        <v>3010106</v>
      </c>
      <c r="D900" t="str">
        <f t="shared" si="286"/>
        <v>03</v>
      </c>
      <c r="E900" t="str">
        <f t="shared" ref="E900:E963" si="289">"644700"</f>
        <v>644700</v>
      </c>
      <c r="F900" t="str">
        <f>"01/31/15"</f>
        <v>01/31/15</v>
      </c>
      <c r="G900" t="str">
        <f>"15066MEF0161"</f>
        <v>15066MEF0161</v>
      </c>
      <c r="H900" s="3">
        <v>120.86</v>
      </c>
      <c r="I900" s="3"/>
      <c r="J900" t="str">
        <f t="shared" si="287"/>
        <v>PROVIDENCE WATER SUPPLY BOARD</v>
      </c>
      <c r="K900" t="str">
        <f>""</f>
        <v/>
      </c>
      <c r="L900" s="2" t="str">
        <f>"SERVICE CHARGE 12/22-1/22/15"</f>
        <v>SERVICE CHARGE 12/22-1/22/15</v>
      </c>
      <c r="M900" t="str">
        <f t="shared" si="288"/>
        <v>MFUSCO</v>
      </c>
    </row>
    <row r="901" spans="1:13" x14ac:dyDescent="0.25">
      <c r="A901" t="str">
        <f t="shared" si="283"/>
        <v>10</v>
      </c>
      <c r="B901" t="str">
        <f t="shared" si="284"/>
        <v>066</v>
      </c>
      <c r="C901" t="str">
        <f t="shared" si="285"/>
        <v>3010106</v>
      </c>
      <c r="D901" t="str">
        <f t="shared" si="286"/>
        <v>03</v>
      </c>
      <c r="E901" t="str">
        <f t="shared" si="289"/>
        <v>644700</v>
      </c>
      <c r="F901" t="str">
        <f>"01/31/15"</f>
        <v>01/31/15</v>
      </c>
      <c r="G901" t="str">
        <f>"15066MEF0162"</f>
        <v>15066MEF0162</v>
      </c>
      <c r="H901" s="3">
        <v>29.23</v>
      </c>
      <c r="I901" s="3"/>
      <c r="J901" t="str">
        <f t="shared" si="287"/>
        <v>PROVIDENCE WATER SUPPLY BOARD</v>
      </c>
      <c r="K901" t="str">
        <f>""</f>
        <v/>
      </c>
      <c r="L901" s="2" t="str">
        <f>"CONSUMPTION FROM 12/3-1/5/15-180 SOUTH MAIN"</f>
        <v>CONSUMPTION FROM 12/3-1/5/15-180 SOUTH MAIN</v>
      </c>
      <c r="M901" t="str">
        <f t="shared" si="288"/>
        <v>MFUSCO</v>
      </c>
    </row>
    <row r="902" spans="1:13" x14ac:dyDescent="0.25">
      <c r="A902" t="str">
        <f t="shared" si="283"/>
        <v>10</v>
      </c>
      <c r="B902" t="str">
        <f t="shared" si="284"/>
        <v>066</v>
      </c>
      <c r="C902" t="str">
        <f t="shared" si="285"/>
        <v>3010106</v>
      </c>
      <c r="D902" t="str">
        <f t="shared" si="286"/>
        <v>03</v>
      </c>
      <c r="E902" t="str">
        <f t="shared" si="289"/>
        <v>644700</v>
      </c>
      <c r="F902" t="str">
        <f>"01/31/15"</f>
        <v>01/31/15</v>
      </c>
      <c r="G902" t="str">
        <f>"ACCT #0817144"</f>
        <v>ACCT #0817144</v>
      </c>
      <c r="H902" s="4">
        <v>23.49</v>
      </c>
      <c r="I902" s="3"/>
      <c r="J902" t="str">
        <f t="shared" si="287"/>
        <v>PROVIDENCE WATER SUPPLY BOARD</v>
      </c>
      <c r="K902" t="str">
        <f>""</f>
        <v/>
      </c>
      <c r="L902" s="2" t="str">
        <f>"WATER USEAGE FOR 11/20-12/22/14"</f>
        <v>WATER USEAGE FOR 11/20-12/22/14</v>
      </c>
      <c r="M902" t="str">
        <f t="shared" si="288"/>
        <v>MFUSCO</v>
      </c>
    </row>
    <row r="903" spans="1:13" x14ac:dyDescent="0.25">
      <c r="A903" t="str">
        <f t="shared" si="283"/>
        <v>10</v>
      </c>
      <c r="B903" t="str">
        <f t="shared" si="284"/>
        <v>066</v>
      </c>
      <c r="C903" t="str">
        <f t="shared" si="285"/>
        <v>3010106</v>
      </c>
      <c r="D903" t="str">
        <f t="shared" si="286"/>
        <v>03</v>
      </c>
      <c r="E903" t="str">
        <f t="shared" si="289"/>
        <v>644700</v>
      </c>
      <c r="F903" t="str">
        <f>"01/31/16"</f>
        <v>01/31/16</v>
      </c>
      <c r="G903" t="str">
        <f>"16066MEF0333"</f>
        <v>16066MEF0333</v>
      </c>
      <c r="H903" s="4">
        <v>251.06</v>
      </c>
      <c r="I903" s="3"/>
      <c r="J903" t="str">
        <f t="shared" si="287"/>
        <v>PROVIDENCE WATER SUPPLY BOARD</v>
      </c>
      <c r="K903" t="str">
        <f>""</f>
        <v/>
      </c>
      <c r="L903" s="2" t="str">
        <f>"180 S. MAIN USE 12/4-1/4/16"</f>
        <v>180 S. MAIN USE 12/4-1/4/16</v>
      </c>
      <c r="M903" t="str">
        <f t="shared" si="288"/>
        <v>MFUSCO</v>
      </c>
    </row>
    <row r="904" spans="1:13" x14ac:dyDescent="0.25">
      <c r="A904" t="str">
        <f t="shared" si="283"/>
        <v>10</v>
      </c>
      <c r="B904" t="str">
        <f t="shared" si="284"/>
        <v>066</v>
      </c>
      <c r="C904" t="str">
        <f t="shared" si="285"/>
        <v>3010106</v>
      </c>
      <c r="D904" t="str">
        <f t="shared" si="286"/>
        <v>03</v>
      </c>
      <c r="E904" t="str">
        <f t="shared" si="289"/>
        <v>644700</v>
      </c>
      <c r="F904" t="str">
        <f>"01/31/16"</f>
        <v>01/31/16</v>
      </c>
      <c r="G904" t="str">
        <f>"16066MEF0337"</f>
        <v>16066MEF0337</v>
      </c>
      <c r="H904" s="4">
        <v>73</v>
      </c>
      <c r="I904" s="3"/>
      <c r="J904" t="str">
        <f t="shared" si="287"/>
        <v>PROVIDENCE WATER SUPPLY BOARD</v>
      </c>
      <c r="K904" t="str">
        <f>""</f>
        <v/>
      </c>
      <c r="L904" s="2" t="str">
        <f>"180 S. MAIN USE 11/12-12/12/15"</f>
        <v>180 S. MAIN USE 11/12-12/12/15</v>
      </c>
      <c r="M904" t="str">
        <f t="shared" si="288"/>
        <v>MFUSCO</v>
      </c>
    </row>
    <row r="905" spans="1:13" x14ac:dyDescent="0.25">
      <c r="A905" t="str">
        <f t="shared" si="283"/>
        <v>10</v>
      </c>
      <c r="B905" t="str">
        <f t="shared" si="284"/>
        <v>066</v>
      </c>
      <c r="C905" t="str">
        <f t="shared" si="285"/>
        <v>3010106</v>
      </c>
      <c r="D905" t="str">
        <f t="shared" si="286"/>
        <v>03</v>
      </c>
      <c r="E905" t="str">
        <f t="shared" si="289"/>
        <v>644700</v>
      </c>
      <c r="F905" t="str">
        <f>"01/31/17"</f>
        <v>01/31/17</v>
      </c>
      <c r="G905" t="str">
        <f>"17066MEF0305"</f>
        <v>17066MEF0305</v>
      </c>
      <c r="H905" s="4">
        <v>120.86</v>
      </c>
      <c r="I905" s="3"/>
      <c r="J905" t="str">
        <f t="shared" si="287"/>
        <v>PROVIDENCE WATER SUPPLY BOARD</v>
      </c>
      <c r="K905" t="str">
        <f>""</f>
        <v/>
      </c>
      <c r="L905" s="2" t="str">
        <f>"ACCT#817144-USEAGE11/11-12/11/16"</f>
        <v>ACCT#817144-USEAGE11/11-12/11/16</v>
      </c>
      <c r="M905" t="str">
        <f t="shared" si="288"/>
        <v>MFUSCO</v>
      </c>
    </row>
    <row r="906" spans="1:13" x14ac:dyDescent="0.25">
      <c r="A906" t="str">
        <f t="shared" si="283"/>
        <v>10</v>
      </c>
      <c r="B906" t="str">
        <f t="shared" si="284"/>
        <v>066</v>
      </c>
      <c r="C906" t="str">
        <f t="shared" si="285"/>
        <v>3010106</v>
      </c>
      <c r="D906" t="str">
        <f t="shared" si="286"/>
        <v>03</v>
      </c>
      <c r="E906" t="str">
        <f t="shared" si="289"/>
        <v>644700</v>
      </c>
      <c r="F906" t="str">
        <f>"01/31/17"</f>
        <v>01/31/17</v>
      </c>
      <c r="G906" t="str">
        <f>"17066MEF0306"</f>
        <v>17066MEF0306</v>
      </c>
      <c r="H906" s="4">
        <v>61.23</v>
      </c>
      <c r="I906" s="3"/>
      <c r="J906" t="str">
        <f t="shared" si="287"/>
        <v>PROVIDENCE WATER SUPPLY BOARD</v>
      </c>
      <c r="K906" t="str">
        <f>""</f>
        <v/>
      </c>
      <c r="L906" s="2" t="str">
        <f>"ACCT#817145-USEAGE 11/18-12/21/16"</f>
        <v>ACCT#817145-USEAGE 11/18-12/21/16</v>
      </c>
      <c r="M906" t="str">
        <f t="shared" si="288"/>
        <v>MFUSCO</v>
      </c>
    </row>
    <row r="907" spans="1:13" x14ac:dyDescent="0.25">
      <c r="A907" t="str">
        <f t="shared" si="283"/>
        <v>10</v>
      </c>
      <c r="B907" t="str">
        <f t="shared" si="284"/>
        <v>066</v>
      </c>
      <c r="C907" t="str">
        <f t="shared" si="285"/>
        <v>3010106</v>
      </c>
      <c r="D907" t="str">
        <f t="shared" si="286"/>
        <v>03</v>
      </c>
      <c r="E907" t="str">
        <f t="shared" si="289"/>
        <v>644700</v>
      </c>
      <c r="F907" t="str">
        <f>"01/31/17"</f>
        <v>01/31/17</v>
      </c>
      <c r="G907" t="str">
        <f>"17066MEF0309"</f>
        <v>17066MEF0309</v>
      </c>
      <c r="H907" s="4">
        <v>255.02</v>
      </c>
      <c r="I907" s="3"/>
      <c r="J907" t="str">
        <f t="shared" si="287"/>
        <v>PROVIDENCE WATER SUPPLY BOARD</v>
      </c>
      <c r="K907" t="str">
        <f>""</f>
        <v/>
      </c>
      <c r="L907" s="2" t="str">
        <f>"180 WATER FOR 12/11-1/13/17"</f>
        <v>180 WATER FOR 12/11-1/13/17</v>
      </c>
      <c r="M907" t="str">
        <f t="shared" si="288"/>
        <v>MFUSCO</v>
      </c>
    </row>
    <row r="908" spans="1:13" x14ac:dyDescent="0.25">
      <c r="A908" t="str">
        <f t="shared" si="283"/>
        <v>10</v>
      </c>
      <c r="B908" t="str">
        <f t="shared" si="284"/>
        <v>066</v>
      </c>
      <c r="C908" t="str">
        <f t="shared" si="285"/>
        <v>3010106</v>
      </c>
      <c r="D908" t="str">
        <f t="shared" si="286"/>
        <v>03</v>
      </c>
      <c r="E908" t="str">
        <f t="shared" si="289"/>
        <v>644700</v>
      </c>
      <c r="F908" t="str">
        <f>"02/28/15"</f>
        <v>02/28/15</v>
      </c>
      <c r="G908" t="str">
        <f>"15066MEF0193"</f>
        <v>15066MEF0193</v>
      </c>
      <c r="H908" s="4">
        <v>28.63</v>
      </c>
      <c r="I908" s="3"/>
      <c r="J908" t="str">
        <f t="shared" si="287"/>
        <v>PROVIDENCE WATER SUPPLY BOARD</v>
      </c>
      <c r="K908" t="str">
        <f>""</f>
        <v/>
      </c>
      <c r="L908" s="2" t="str">
        <f>"ACCT#817145-1/5-2/5/15"</f>
        <v>ACCT#817145-1/5-2/5/15</v>
      </c>
      <c r="M908" t="str">
        <f t="shared" si="288"/>
        <v>MFUSCO</v>
      </c>
    </row>
    <row r="909" spans="1:13" x14ac:dyDescent="0.25">
      <c r="A909" t="str">
        <f t="shared" si="283"/>
        <v>10</v>
      </c>
      <c r="B909" t="str">
        <f t="shared" si="284"/>
        <v>066</v>
      </c>
      <c r="C909" t="str">
        <f t="shared" si="285"/>
        <v>3010106</v>
      </c>
      <c r="D909" t="str">
        <f t="shared" si="286"/>
        <v>03</v>
      </c>
      <c r="E909" t="str">
        <f t="shared" si="289"/>
        <v>644700</v>
      </c>
      <c r="F909" t="str">
        <f>"02/28/17"</f>
        <v>02/28/17</v>
      </c>
      <c r="G909" t="str">
        <f>"17066MEF0338"</f>
        <v>17066MEF0338</v>
      </c>
      <c r="H909" s="4">
        <v>64.540000000000006</v>
      </c>
      <c r="I909" s="3"/>
      <c r="J909" t="str">
        <f t="shared" si="287"/>
        <v>PROVIDENCE WATER SUPPLY BOARD</v>
      </c>
      <c r="K909" t="str">
        <f>""</f>
        <v/>
      </c>
      <c r="L909" s="2" t="str">
        <f>"180 SOUTH MAIN STREET WATER"</f>
        <v>180 SOUTH MAIN STREET WATER</v>
      </c>
      <c r="M909" t="str">
        <f t="shared" si="288"/>
        <v>MFUSCO</v>
      </c>
    </row>
    <row r="910" spans="1:13" x14ac:dyDescent="0.25">
      <c r="A910" t="str">
        <f t="shared" si="283"/>
        <v>10</v>
      </c>
      <c r="B910" t="str">
        <f t="shared" si="284"/>
        <v>066</v>
      </c>
      <c r="C910" t="str">
        <f t="shared" si="285"/>
        <v>3010106</v>
      </c>
      <c r="D910" t="str">
        <f t="shared" si="286"/>
        <v>03</v>
      </c>
      <c r="E910" t="str">
        <f t="shared" si="289"/>
        <v>644700</v>
      </c>
      <c r="F910" t="str">
        <f>"02/29/16"</f>
        <v>02/29/16</v>
      </c>
      <c r="G910" t="str">
        <f>"16066MEF0395"</f>
        <v>16066MEF0395</v>
      </c>
      <c r="H910" s="4">
        <v>68.09</v>
      </c>
      <c r="I910" s="3"/>
      <c r="J910" t="str">
        <f t="shared" si="287"/>
        <v>PROVIDENCE WATER SUPPLY BOARD</v>
      </c>
      <c r="K910" t="str">
        <f>""</f>
        <v/>
      </c>
      <c r="L910" s="2" t="str">
        <f>"WATER USEAGE 12/18/15-1/21/16"</f>
        <v>WATER USEAGE 12/18/15-1/21/16</v>
      </c>
      <c r="M910" t="str">
        <f t="shared" si="288"/>
        <v>MFUSCO</v>
      </c>
    </row>
    <row r="911" spans="1:13" x14ac:dyDescent="0.25">
      <c r="A911" t="str">
        <f t="shared" si="283"/>
        <v>10</v>
      </c>
      <c r="B911" t="str">
        <f t="shared" si="284"/>
        <v>066</v>
      </c>
      <c r="C911" t="str">
        <f t="shared" si="285"/>
        <v>3010106</v>
      </c>
      <c r="D911" t="str">
        <f t="shared" si="286"/>
        <v>03</v>
      </c>
      <c r="E911" t="str">
        <f t="shared" si="289"/>
        <v>644700</v>
      </c>
      <c r="F911" t="str">
        <f>"03/31/15"</f>
        <v>03/31/15</v>
      </c>
      <c r="G911" t="str">
        <f>"15066MEF0304"</f>
        <v>15066MEF0304</v>
      </c>
      <c r="H911" s="4">
        <v>128.91</v>
      </c>
      <c r="I911" s="3"/>
      <c r="J911" t="str">
        <f t="shared" si="287"/>
        <v>PROVIDENCE WATER SUPPLY BOARD</v>
      </c>
      <c r="K911" t="str">
        <f>""</f>
        <v/>
      </c>
      <c r="L911" s="2" t="str">
        <f>"ACCT#817144-1/22-2/23/15"</f>
        <v>ACCT#817144-1/22-2/23/15</v>
      </c>
      <c r="M911" t="str">
        <f t="shared" si="288"/>
        <v>MFUSCO</v>
      </c>
    </row>
    <row r="912" spans="1:13" x14ac:dyDescent="0.25">
      <c r="A912" t="str">
        <f t="shared" si="283"/>
        <v>10</v>
      </c>
      <c r="B912" t="str">
        <f t="shared" si="284"/>
        <v>066</v>
      </c>
      <c r="C912" t="str">
        <f t="shared" si="285"/>
        <v>3010106</v>
      </c>
      <c r="D912" t="str">
        <f t="shared" si="286"/>
        <v>03</v>
      </c>
      <c r="E912" t="str">
        <f t="shared" si="289"/>
        <v>644700</v>
      </c>
      <c r="F912" t="str">
        <f>"03/31/15"</f>
        <v>03/31/15</v>
      </c>
      <c r="G912" t="str">
        <f>"15066MEF0305"</f>
        <v>15066MEF0305</v>
      </c>
      <c r="H912" s="4">
        <v>31.12</v>
      </c>
      <c r="I912" s="3"/>
      <c r="J912" t="str">
        <f t="shared" si="287"/>
        <v>PROVIDENCE WATER SUPPLY BOARD</v>
      </c>
      <c r="K912" t="str">
        <f>""</f>
        <v/>
      </c>
      <c r="L912" s="2" t="str">
        <f>"ACCT#817145-2/5-3/10/15 (FIRE)"</f>
        <v>ACCT#817145-2/5-3/10/15 (FIRE)</v>
      </c>
      <c r="M912" t="str">
        <f t="shared" si="288"/>
        <v>MFUSCO</v>
      </c>
    </row>
    <row r="913" spans="1:13" x14ac:dyDescent="0.25">
      <c r="A913" t="str">
        <f t="shared" si="283"/>
        <v>10</v>
      </c>
      <c r="B913" t="str">
        <f t="shared" si="284"/>
        <v>066</v>
      </c>
      <c r="C913" t="str">
        <f t="shared" si="285"/>
        <v>3010106</v>
      </c>
      <c r="D913" t="str">
        <f t="shared" si="286"/>
        <v>03</v>
      </c>
      <c r="E913" t="str">
        <f t="shared" si="289"/>
        <v>644700</v>
      </c>
      <c r="F913" t="str">
        <f>"03/31/16"</f>
        <v>03/31/16</v>
      </c>
      <c r="G913" t="str">
        <f>"16066MEF0522"</f>
        <v>16066MEF0522</v>
      </c>
      <c r="H913" s="4">
        <v>62.57</v>
      </c>
      <c r="I913" s="3"/>
      <c r="J913" t="str">
        <f t="shared" si="287"/>
        <v>PROVIDENCE WATER SUPPLY BOARD</v>
      </c>
      <c r="K913" t="str">
        <f>""</f>
        <v/>
      </c>
      <c r="L913" s="2" t="str">
        <f>"180 SOUTH MAIN ST-WATER 1/21-2/17/16"</f>
        <v>180 SOUTH MAIN ST-WATER 1/21-2/17/16</v>
      </c>
      <c r="M913" t="str">
        <f t="shared" si="288"/>
        <v>MFUSCO</v>
      </c>
    </row>
    <row r="914" spans="1:13" x14ac:dyDescent="0.25">
      <c r="A914" t="str">
        <f t="shared" si="283"/>
        <v>10</v>
      </c>
      <c r="B914" t="str">
        <f t="shared" si="284"/>
        <v>066</v>
      </c>
      <c r="C914" t="str">
        <f t="shared" si="285"/>
        <v>3010106</v>
      </c>
      <c r="D914" t="str">
        <f t="shared" si="286"/>
        <v>03</v>
      </c>
      <c r="E914" t="str">
        <f t="shared" si="289"/>
        <v>644700</v>
      </c>
      <c r="F914" t="str">
        <f>"03/31/16"</f>
        <v>03/31/16</v>
      </c>
      <c r="G914" t="str">
        <f>"16066MEF0532"</f>
        <v>16066MEF0532</v>
      </c>
      <c r="H914" s="4">
        <v>112.81</v>
      </c>
      <c r="I914" s="3"/>
      <c r="J914" t="str">
        <f t="shared" si="287"/>
        <v>PROVIDENCE WATER SUPPLY BOARD</v>
      </c>
      <c r="K914" t="str">
        <f>""</f>
        <v/>
      </c>
      <c r="L914" s="2" t="str">
        <f>"180 SOUTH MAIN WATER 2/4-3/6/16"</f>
        <v>180 SOUTH MAIN WATER 2/4-3/6/16</v>
      </c>
      <c r="M914" t="str">
        <f t="shared" si="288"/>
        <v>MFUSCO</v>
      </c>
    </row>
    <row r="915" spans="1:13" x14ac:dyDescent="0.25">
      <c r="A915" t="str">
        <f t="shared" si="283"/>
        <v>10</v>
      </c>
      <c r="B915" t="str">
        <f t="shared" si="284"/>
        <v>066</v>
      </c>
      <c r="C915" t="str">
        <f t="shared" si="285"/>
        <v>3010106</v>
      </c>
      <c r="D915" t="str">
        <f t="shared" si="286"/>
        <v>03</v>
      </c>
      <c r="E915" t="str">
        <f t="shared" si="289"/>
        <v>644700</v>
      </c>
      <c r="F915" t="str">
        <f>"03/31/17"</f>
        <v>03/31/17</v>
      </c>
      <c r="G915" t="str">
        <f>"17066MEF0485"</f>
        <v>17066MEF0485</v>
      </c>
      <c r="H915" s="4">
        <v>60.08</v>
      </c>
      <c r="I915" s="3"/>
      <c r="J915" t="str">
        <f t="shared" si="287"/>
        <v>PROVIDENCE WATER SUPPLY BOARD</v>
      </c>
      <c r="K915" t="str">
        <f>""</f>
        <v/>
      </c>
      <c r="L915" s="2" t="str">
        <f>"WATER FOR 180 SOUTH MAIN STREET"</f>
        <v>WATER FOR 180 SOUTH MAIN STREET</v>
      </c>
      <c r="M915" t="str">
        <f t="shared" si="288"/>
        <v>MFUSCO</v>
      </c>
    </row>
    <row r="916" spans="1:13" x14ac:dyDescent="0.25">
      <c r="A916" t="str">
        <f t="shared" si="283"/>
        <v>10</v>
      </c>
      <c r="B916" t="str">
        <f t="shared" si="284"/>
        <v>066</v>
      </c>
      <c r="C916" t="str">
        <f t="shared" si="285"/>
        <v>3010106</v>
      </c>
      <c r="D916" t="str">
        <f t="shared" si="286"/>
        <v>03</v>
      </c>
      <c r="E916" t="str">
        <f t="shared" si="289"/>
        <v>644700</v>
      </c>
      <c r="F916" t="str">
        <f>"04/30/14"</f>
        <v>04/30/14</v>
      </c>
      <c r="G916" t="str">
        <f>"180 SOUTH MAIN"</f>
        <v>180 SOUTH MAIN</v>
      </c>
      <c r="H916" s="4">
        <v>98.75</v>
      </c>
      <c r="I916" s="3"/>
      <c r="J916" t="str">
        <f t="shared" si="287"/>
        <v>PROVIDENCE WATER SUPPLY BOARD</v>
      </c>
      <c r="K916" t="str">
        <f>""</f>
        <v/>
      </c>
      <c r="L916" s="2" t="str">
        <f>"WATER FOR 3/17-4/15/14"</f>
        <v>WATER FOR 3/17-4/15/14</v>
      </c>
      <c r="M916" t="str">
        <f t="shared" si="288"/>
        <v>MFUSCO</v>
      </c>
    </row>
    <row r="917" spans="1:13" x14ac:dyDescent="0.25">
      <c r="A917" t="str">
        <f t="shared" si="283"/>
        <v>10</v>
      </c>
      <c r="B917" t="str">
        <f t="shared" si="284"/>
        <v>066</v>
      </c>
      <c r="C917" t="str">
        <f t="shared" si="285"/>
        <v>3010106</v>
      </c>
      <c r="D917" t="str">
        <f t="shared" si="286"/>
        <v>03</v>
      </c>
      <c r="E917" t="str">
        <f t="shared" si="289"/>
        <v>644700</v>
      </c>
      <c r="F917" t="str">
        <f>"04/30/14"</f>
        <v>04/30/14</v>
      </c>
      <c r="G917" t="str">
        <f>"81745-MARCH"</f>
        <v>81745-MARCH</v>
      </c>
      <c r="H917" s="4">
        <v>27.65</v>
      </c>
      <c r="I917" s="3"/>
      <c r="J917" t="str">
        <f t="shared" si="287"/>
        <v>PROVIDENCE WATER SUPPLY BOARD</v>
      </c>
      <c r="K917" t="str">
        <f>""</f>
        <v/>
      </c>
      <c r="L917" s="2" t="str">
        <f>"WATER FOR 2/21-3/26/14"</f>
        <v>WATER FOR 2/21-3/26/14</v>
      </c>
      <c r="M917" t="str">
        <f t="shared" si="288"/>
        <v>MFUSCO</v>
      </c>
    </row>
    <row r="918" spans="1:13" x14ac:dyDescent="0.25">
      <c r="A918" t="str">
        <f t="shared" si="283"/>
        <v>10</v>
      </c>
      <c r="B918" t="str">
        <f t="shared" si="284"/>
        <v>066</v>
      </c>
      <c r="C918" t="str">
        <f t="shared" si="285"/>
        <v>3010106</v>
      </c>
      <c r="D918" t="str">
        <f t="shared" si="286"/>
        <v>03</v>
      </c>
      <c r="E918" t="str">
        <f t="shared" si="289"/>
        <v>644700</v>
      </c>
      <c r="F918" t="str">
        <f>"04/30/15"</f>
        <v>04/30/15</v>
      </c>
      <c r="G918" t="str">
        <f>"15066MEF0342"</f>
        <v>15066MEF0342</v>
      </c>
      <c r="H918" s="4">
        <v>251.06</v>
      </c>
      <c r="I918" s="3"/>
      <c r="J918" t="str">
        <f t="shared" si="287"/>
        <v>PROVIDENCE WATER SUPPLY BOARD</v>
      </c>
      <c r="K918" t="str">
        <f>""</f>
        <v/>
      </c>
      <c r="L918" s="2" t="str">
        <f>"WATER 2/23-3/26/15 FOR 180 SOUTH MAIN STREET"</f>
        <v>WATER 2/23-3/26/15 FOR 180 SOUTH MAIN STREET</v>
      </c>
      <c r="M918" t="str">
        <f t="shared" si="288"/>
        <v>MFUSCO</v>
      </c>
    </row>
    <row r="919" spans="1:13" x14ac:dyDescent="0.25">
      <c r="A919" t="str">
        <f t="shared" si="283"/>
        <v>10</v>
      </c>
      <c r="B919" t="str">
        <f t="shared" si="284"/>
        <v>066</v>
      </c>
      <c r="C919" t="str">
        <f t="shared" si="285"/>
        <v>3010106</v>
      </c>
      <c r="D919" t="str">
        <f t="shared" si="286"/>
        <v>03</v>
      </c>
      <c r="E919" t="str">
        <f t="shared" si="289"/>
        <v>644700</v>
      </c>
      <c r="F919" t="str">
        <f>"04/30/16"</f>
        <v>04/30/16</v>
      </c>
      <c r="G919" t="str">
        <f>"16066MEF0585"</f>
        <v>16066MEF0585</v>
      </c>
      <c r="H919" s="4">
        <v>68.37</v>
      </c>
      <c r="I919" s="3"/>
      <c r="J919" t="str">
        <f t="shared" si="287"/>
        <v>PROVIDENCE WATER SUPPLY BOARD</v>
      </c>
      <c r="K919" t="str">
        <f>""</f>
        <v/>
      </c>
      <c r="L919" s="2" t="str">
        <f>"ACCT# 817145 - WATER 2/17-3/18/16"</f>
        <v>ACCT# 817145 - WATER 2/17-3/18/16</v>
      </c>
      <c r="M919" t="str">
        <f t="shared" si="288"/>
        <v>MFUSCO</v>
      </c>
    </row>
    <row r="920" spans="1:13" x14ac:dyDescent="0.25">
      <c r="A920" t="str">
        <f t="shared" si="283"/>
        <v>10</v>
      </c>
      <c r="B920" t="str">
        <f t="shared" si="284"/>
        <v>066</v>
      </c>
      <c r="C920" t="str">
        <f t="shared" si="285"/>
        <v>3010106</v>
      </c>
      <c r="D920" t="str">
        <f t="shared" si="286"/>
        <v>03</v>
      </c>
      <c r="E920" t="str">
        <f t="shared" si="289"/>
        <v>644700</v>
      </c>
      <c r="F920" t="str">
        <f>"04/30/16"</f>
        <v>04/30/16</v>
      </c>
      <c r="G920" t="str">
        <f>"16066MEF0624"</f>
        <v>16066MEF0624</v>
      </c>
      <c r="H920" s="4">
        <v>120.86</v>
      </c>
      <c r="I920" s="3"/>
      <c r="J920" t="str">
        <f t="shared" si="287"/>
        <v>PROVIDENCE WATER SUPPLY BOARD</v>
      </c>
      <c r="K920" t="str">
        <f>""</f>
        <v/>
      </c>
      <c r="L920" s="2" t="str">
        <f>"USAGE 3/6/16-4/6/16 AT 180 SOUTH MAIN STREET"</f>
        <v>USAGE 3/6/16-4/6/16 AT 180 SOUTH MAIN STREET</v>
      </c>
      <c r="M920" t="str">
        <f t="shared" si="288"/>
        <v>MFUSCO</v>
      </c>
    </row>
    <row r="921" spans="1:13" x14ac:dyDescent="0.25">
      <c r="A921" t="str">
        <f t="shared" si="283"/>
        <v>10</v>
      </c>
      <c r="B921" t="str">
        <f t="shared" si="284"/>
        <v>066</v>
      </c>
      <c r="C921" t="str">
        <f t="shared" si="285"/>
        <v>3010106</v>
      </c>
      <c r="D921" t="str">
        <f t="shared" si="286"/>
        <v>03</v>
      </c>
      <c r="E921" t="str">
        <f t="shared" si="289"/>
        <v>644700</v>
      </c>
      <c r="F921" t="str">
        <f>"04/30/17"</f>
        <v>04/30/17</v>
      </c>
      <c r="G921" t="str">
        <f>"17066MEF0470"</f>
        <v>17066MEF0470</v>
      </c>
      <c r="H921" s="4">
        <v>141.19999999999999</v>
      </c>
      <c r="I921" s="3"/>
      <c r="J921" t="str">
        <f t="shared" si="287"/>
        <v>PROVIDENCE WATER SUPPLY BOARD</v>
      </c>
      <c r="K921" t="str">
        <f>""</f>
        <v/>
      </c>
      <c r="L921" s="2" t="str">
        <f>"ACCT#817144-FIRE SUPPLY"</f>
        <v>ACCT#817144-FIRE SUPPLY</v>
      </c>
      <c r="M921" t="str">
        <f t="shared" si="288"/>
        <v>MFUSCO</v>
      </c>
    </row>
    <row r="922" spans="1:13" x14ac:dyDescent="0.25">
      <c r="A922" t="str">
        <f t="shared" si="283"/>
        <v>10</v>
      </c>
      <c r="B922" t="str">
        <f t="shared" si="284"/>
        <v>066</v>
      </c>
      <c r="C922" t="str">
        <f t="shared" si="285"/>
        <v>3010106</v>
      </c>
      <c r="D922" t="str">
        <f t="shared" si="286"/>
        <v>03</v>
      </c>
      <c r="E922" t="str">
        <f t="shared" si="289"/>
        <v>644700</v>
      </c>
      <c r="F922" t="str">
        <f>"04/30/17"</f>
        <v>04/30/17</v>
      </c>
      <c r="G922" t="str">
        <f>"17066MEF0472"</f>
        <v>17066MEF0472</v>
      </c>
      <c r="H922" s="4">
        <v>69.430000000000007</v>
      </c>
      <c r="I922" s="3"/>
      <c r="J922" t="str">
        <f t="shared" si="287"/>
        <v>PROVIDENCE WATER SUPPLY BOARD</v>
      </c>
      <c r="K922" t="str">
        <f>""</f>
        <v/>
      </c>
      <c r="L922" s="2" t="str">
        <f>"ACCT#817145-WATER 180 SOUTH MAIN STREET"</f>
        <v>ACCT#817145-WATER 180 SOUTH MAIN STREET</v>
      </c>
      <c r="M922" t="str">
        <f t="shared" si="288"/>
        <v>MFUSCO</v>
      </c>
    </row>
    <row r="923" spans="1:13" x14ac:dyDescent="0.25">
      <c r="A923" t="str">
        <f t="shared" si="283"/>
        <v>10</v>
      </c>
      <c r="B923" t="str">
        <f t="shared" si="284"/>
        <v>066</v>
      </c>
      <c r="C923" t="str">
        <f t="shared" si="285"/>
        <v>3010106</v>
      </c>
      <c r="D923" t="str">
        <f t="shared" si="286"/>
        <v>03</v>
      </c>
      <c r="E923" t="str">
        <f t="shared" si="289"/>
        <v>644700</v>
      </c>
      <c r="F923" t="str">
        <f>"05/31/14"</f>
        <v>05/31/14</v>
      </c>
      <c r="G923" t="str">
        <f>"3/26-4/24/14-817145"</f>
        <v>3/26-4/24/14-817145</v>
      </c>
      <c r="H923" s="4">
        <v>25.47</v>
      </c>
      <c r="I923" s="3"/>
      <c r="J923" t="str">
        <f t="shared" si="287"/>
        <v>PROVIDENCE WATER SUPPLY BOARD</v>
      </c>
      <c r="K923" t="str">
        <f>""</f>
        <v/>
      </c>
      <c r="L923" s="2" t="str">
        <f>"ACCT 817145 - USEAGE 3/16-4/24/14"</f>
        <v>ACCT 817145 - USEAGE 3/16-4/24/14</v>
      </c>
      <c r="M923" t="str">
        <f t="shared" si="288"/>
        <v>MFUSCO</v>
      </c>
    </row>
    <row r="924" spans="1:13" x14ac:dyDescent="0.25">
      <c r="A924" t="str">
        <f t="shared" si="283"/>
        <v>10</v>
      </c>
      <c r="B924" t="str">
        <f t="shared" si="284"/>
        <v>066</v>
      </c>
      <c r="C924" t="str">
        <f t="shared" si="285"/>
        <v>3010106</v>
      </c>
      <c r="D924" t="str">
        <f t="shared" si="286"/>
        <v>03</v>
      </c>
      <c r="E924" t="str">
        <f t="shared" si="289"/>
        <v>644700</v>
      </c>
      <c r="F924" t="str">
        <f>"05/31/14"</f>
        <v>05/31/14</v>
      </c>
      <c r="G924" t="str">
        <f>"817144-180 SOUTH MAIN"</f>
        <v>817144-180 SOUTH MAIN</v>
      </c>
      <c r="H924" s="4">
        <v>136.97</v>
      </c>
      <c r="I924" s="3"/>
      <c r="J924" t="str">
        <f t="shared" si="287"/>
        <v>PROVIDENCE WATER SUPPLY BOARD</v>
      </c>
      <c r="K924" t="str">
        <f>""</f>
        <v/>
      </c>
      <c r="L924" s="2" t="str">
        <f>"WATER CONSUMPTION 4/15-5/20/14"</f>
        <v>WATER CONSUMPTION 4/15-5/20/14</v>
      </c>
      <c r="M924" t="str">
        <f t="shared" si="288"/>
        <v>MFUSCO</v>
      </c>
    </row>
    <row r="925" spans="1:13" x14ac:dyDescent="0.25">
      <c r="A925" t="str">
        <f t="shared" si="283"/>
        <v>10</v>
      </c>
      <c r="B925" t="str">
        <f t="shared" si="284"/>
        <v>066</v>
      </c>
      <c r="C925" t="str">
        <f t="shared" si="285"/>
        <v>3010106</v>
      </c>
      <c r="D925" t="str">
        <f t="shared" si="286"/>
        <v>03</v>
      </c>
      <c r="E925" t="str">
        <f t="shared" si="289"/>
        <v>644700</v>
      </c>
      <c r="F925" t="str">
        <f>"05/31/15"</f>
        <v>05/31/15</v>
      </c>
      <c r="G925" t="str">
        <f>"15066MEF0502"</f>
        <v>15066MEF0502</v>
      </c>
      <c r="H925" s="4">
        <v>30.52</v>
      </c>
      <c r="I925" s="3"/>
      <c r="J925" t="str">
        <f t="shared" si="287"/>
        <v>PROVIDENCE WATER SUPPLY BOARD</v>
      </c>
      <c r="K925" t="str">
        <f>""</f>
        <v/>
      </c>
      <c r="L925" s="2" t="str">
        <f>"WATER USAGE FROM 3/10-4/9/15"</f>
        <v>WATER USAGE FROM 3/10-4/9/15</v>
      </c>
      <c r="M925" t="str">
        <f t="shared" si="288"/>
        <v>MFUSCO</v>
      </c>
    </row>
    <row r="926" spans="1:13" x14ac:dyDescent="0.25">
      <c r="A926" t="str">
        <f t="shared" si="283"/>
        <v>10</v>
      </c>
      <c r="B926" t="str">
        <f t="shared" si="284"/>
        <v>066</v>
      </c>
      <c r="C926" t="str">
        <f t="shared" si="285"/>
        <v>3010106</v>
      </c>
      <c r="D926" t="str">
        <f t="shared" si="286"/>
        <v>03</v>
      </c>
      <c r="E926" t="str">
        <f t="shared" si="289"/>
        <v>644700</v>
      </c>
      <c r="F926" t="str">
        <f>"05/31/15"</f>
        <v>05/31/15</v>
      </c>
      <c r="G926" t="str">
        <f>"15066MEF0510"</f>
        <v>15066MEF0510</v>
      </c>
      <c r="H926" s="4">
        <v>128.91</v>
      </c>
      <c r="I926" s="3"/>
      <c r="J926" t="str">
        <f t="shared" si="287"/>
        <v>PROVIDENCE WATER SUPPLY BOARD</v>
      </c>
      <c r="K926" t="str">
        <f>""</f>
        <v/>
      </c>
      <c r="L926" s="2" t="str">
        <f>"WATER USAGE 3/26-4/27/15"</f>
        <v>WATER USAGE 3/26-4/27/15</v>
      </c>
      <c r="M926" t="str">
        <f t="shared" si="288"/>
        <v>MFUSCO</v>
      </c>
    </row>
    <row r="927" spans="1:13" x14ac:dyDescent="0.25">
      <c r="A927" t="str">
        <f t="shared" si="283"/>
        <v>10</v>
      </c>
      <c r="B927" t="str">
        <f t="shared" si="284"/>
        <v>066</v>
      </c>
      <c r="C927" t="str">
        <f t="shared" si="285"/>
        <v>3010106</v>
      </c>
      <c r="D927" t="str">
        <f t="shared" si="286"/>
        <v>03</v>
      </c>
      <c r="E927" t="str">
        <f t="shared" si="289"/>
        <v>644700</v>
      </c>
      <c r="F927" t="str">
        <f>"05/31/16"</f>
        <v>05/31/16</v>
      </c>
      <c r="G927" t="str">
        <f>"16066MEF0771"</f>
        <v>16066MEF0771</v>
      </c>
      <c r="H927" s="4">
        <v>132.94999999999999</v>
      </c>
      <c r="I927" s="3"/>
      <c r="J927" t="str">
        <f t="shared" si="287"/>
        <v>PROVIDENCE WATER SUPPLY BOARD</v>
      </c>
      <c r="K927" t="str">
        <f>""</f>
        <v/>
      </c>
      <c r="L927" s="2" t="str">
        <f>"WATER FOR 180 SOUTH MAIN 4/6-5/9/16"</f>
        <v>WATER FOR 180 SOUTH MAIN 4/6-5/9/16</v>
      </c>
      <c r="M927" t="str">
        <f t="shared" si="288"/>
        <v>MFUSCO</v>
      </c>
    </row>
    <row r="928" spans="1:13" x14ac:dyDescent="0.25">
      <c r="A928" t="str">
        <f t="shared" si="283"/>
        <v>10</v>
      </c>
      <c r="B928" t="str">
        <f t="shared" si="284"/>
        <v>066</v>
      </c>
      <c r="C928" t="str">
        <f t="shared" si="285"/>
        <v>3010106</v>
      </c>
      <c r="D928" t="str">
        <f t="shared" si="286"/>
        <v>03</v>
      </c>
      <c r="E928" t="str">
        <f t="shared" si="289"/>
        <v>644700</v>
      </c>
      <c r="F928" t="str">
        <f>"05/31/16"</f>
        <v>05/31/16</v>
      </c>
      <c r="G928" t="str">
        <f>"16066MEF0795"</f>
        <v>16066MEF0795</v>
      </c>
      <c r="H928" s="4">
        <v>75.52</v>
      </c>
      <c r="I928" s="3"/>
      <c r="J928" t="str">
        <f t="shared" si="287"/>
        <v>PROVIDENCE WATER SUPPLY BOARD</v>
      </c>
      <c r="K928" t="str">
        <f>""</f>
        <v/>
      </c>
      <c r="L928" s="2" t="str">
        <f>"WATER FOR 180 SOUTH MAIN 3/18-4/20/16"</f>
        <v>WATER FOR 180 SOUTH MAIN 3/18-4/20/16</v>
      </c>
      <c r="M928" t="str">
        <f t="shared" si="288"/>
        <v>MFUSCO</v>
      </c>
    </row>
    <row r="929" spans="1:13" x14ac:dyDescent="0.25">
      <c r="A929" t="str">
        <f t="shared" si="283"/>
        <v>10</v>
      </c>
      <c r="B929" t="str">
        <f t="shared" si="284"/>
        <v>066</v>
      </c>
      <c r="C929" t="str">
        <f t="shared" si="285"/>
        <v>3010106</v>
      </c>
      <c r="D929" t="str">
        <f t="shared" si="286"/>
        <v>03</v>
      </c>
      <c r="E929" t="str">
        <f t="shared" si="289"/>
        <v>644700</v>
      </c>
      <c r="F929" t="str">
        <f>"05/31/16"</f>
        <v>05/31/16</v>
      </c>
      <c r="G929" t="str">
        <f>"16066MEF0826"</f>
        <v>16066MEF0826</v>
      </c>
      <c r="H929" s="4">
        <v>61.06</v>
      </c>
      <c r="I929" s="3"/>
      <c r="J929" t="str">
        <f t="shared" si="287"/>
        <v>PROVIDENCE WATER SUPPLY BOARD</v>
      </c>
      <c r="K929" t="str">
        <f>""</f>
        <v/>
      </c>
      <c r="L929" s="2" t="str">
        <f>"WATER SERVICE FOR 180 SOUTH MAIN STREET"</f>
        <v>WATER SERVICE FOR 180 SOUTH MAIN STREET</v>
      </c>
      <c r="M929" t="str">
        <f t="shared" si="288"/>
        <v>MFUSCO</v>
      </c>
    </row>
    <row r="930" spans="1:13" x14ac:dyDescent="0.25">
      <c r="A930" t="str">
        <f t="shared" si="283"/>
        <v>10</v>
      </c>
      <c r="B930" t="str">
        <f t="shared" si="284"/>
        <v>066</v>
      </c>
      <c r="C930" t="str">
        <f t="shared" si="285"/>
        <v>3010106</v>
      </c>
      <c r="D930" t="str">
        <f t="shared" si="286"/>
        <v>03</v>
      </c>
      <c r="E930" t="str">
        <f t="shared" si="289"/>
        <v>644700</v>
      </c>
      <c r="F930" t="str">
        <f>"05/31/17"</f>
        <v>05/31/17</v>
      </c>
      <c r="G930" t="str">
        <f>"17066MEF0505"</f>
        <v>17066MEF0505</v>
      </c>
      <c r="H930" s="4">
        <v>61.44</v>
      </c>
      <c r="I930" s="3"/>
      <c r="J930" t="str">
        <f t="shared" si="287"/>
        <v>PROVIDENCE WATER SUPPLY BOARD</v>
      </c>
      <c r="K930" t="str">
        <f>""</f>
        <v/>
      </c>
      <c r="L930" s="2" t="str">
        <f>"ACCT#817145-WATER FOR 3/27-4/24/17"</f>
        <v>ACCT#817145-WATER FOR 3/27-4/24/17</v>
      </c>
      <c r="M930" t="str">
        <f t="shared" si="288"/>
        <v>MFUSCO</v>
      </c>
    </row>
    <row r="931" spans="1:13" x14ac:dyDescent="0.25">
      <c r="A931" t="str">
        <f t="shared" si="283"/>
        <v>10</v>
      </c>
      <c r="B931" t="str">
        <f t="shared" si="284"/>
        <v>066</v>
      </c>
      <c r="C931" t="str">
        <f t="shared" si="285"/>
        <v>3010106</v>
      </c>
      <c r="D931" t="str">
        <f t="shared" si="286"/>
        <v>03</v>
      </c>
      <c r="E931" t="str">
        <f t="shared" si="289"/>
        <v>644700</v>
      </c>
      <c r="F931" t="str">
        <f>"05/31/17"</f>
        <v>05/31/17</v>
      </c>
      <c r="G931" t="str">
        <f>"17066MEF0512"</f>
        <v>17066MEF0512</v>
      </c>
      <c r="H931" s="4">
        <v>138.97999999999999</v>
      </c>
      <c r="I931" s="3"/>
      <c r="J931" t="str">
        <f t="shared" si="287"/>
        <v>PROVIDENCE WATER SUPPLY BOARD</v>
      </c>
      <c r="K931" t="str">
        <f>""</f>
        <v/>
      </c>
      <c r="L931" s="2" t="str">
        <f>"ACCT#817144-WATER FROM 4/16-5/17/17"</f>
        <v>ACCT#817144-WATER FROM 4/16-5/17/17</v>
      </c>
      <c r="M931" t="str">
        <f t="shared" si="288"/>
        <v>MFUSCO</v>
      </c>
    </row>
    <row r="932" spans="1:13" x14ac:dyDescent="0.25">
      <c r="A932" t="str">
        <f t="shared" si="283"/>
        <v>10</v>
      </c>
      <c r="B932" t="str">
        <f t="shared" si="284"/>
        <v>066</v>
      </c>
      <c r="C932" t="str">
        <f t="shared" si="285"/>
        <v>3010106</v>
      </c>
      <c r="D932" t="str">
        <f t="shared" si="286"/>
        <v>03</v>
      </c>
      <c r="E932" t="str">
        <f t="shared" si="289"/>
        <v>644700</v>
      </c>
      <c r="F932" t="str">
        <f>"05/31/17"</f>
        <v>05/31/17</v>
      </c>
      <c r="G932" t="str">
        <f>"17066MEF0522"</f>
        <v>17066MEF0522</v>
      </c>
      <c r="H932" s="4">
        <v>140.38999999999999</v>
      </c>
      <c r="I932" s="3"/>
      <c r="J932" t="str">
        <f t="shared" si="287"/>
        <v>PROVIDENCE WATER SUPPLY BOARD</v>
      </c>
      <c r="K932" t="str">
        <f>""</f>
        <v/>
      </c>
      <c r="L932" s="2" t="str">
        <f>"WATER USAGE FOR 3/16/17-4/16/17"</f>
        <v>WATER USAGE FOR 3/16/17-4/16/17</v>
      </c>
      <c r="M932" t="str">
        <f t="shared" si="288"/>
        <v>MFUSCO</v>
      </c>
    </row>
    <row r="933" spans="1:13" x14ac:dyDescent="0.25">
      <c r="A933" t="str">
        <f t="shared" si="283"/>
        <v>10</v>
      </c>
      <c r="B933" t="str">
        <f t="shared" si="284"/>
        <v>066</v>
      </c>
      <c r="C933" t="str">
        <f t="shared" si="285"/>
        <v>3010106</v>
      </c>
      <c r="D933" t="str">
        <f t="shared" si="286"/>
        <v>03</v>
      </c>
      <c r="E933" t="str">
        <f t="shared" si="289"/>
        <v>644700</v>
      </c>
      <c r="F933" t="str">
        <f>"06/30/14"</f>
        <v>06/30/14</v>
      </c>
      <c r="G933" t="str">
        <f>"14066MEF0957"</f>
        <v>14066MEF0957</v>
      </c>
      <c r="H933" s="4">
        <v>141</v>
      </c>
      <c r="I933" s="3"/>
      <c r="J933" t="str">
        <f t="shared" si="287"/>
        <v>PROVIDENCE WATER SUPPLY BOARD</v>
      </c>
      <c r="K933" t="str">
        <f>""</f>
        <v/>
      </c>
      <c r="L933" s="2" t="str">
        <f>"WATER USE 5/16-6/20/14-180 SOUTH MAIN STREET"</f>
        <v>WATER USE 5/16-6/20/14-180 SOUTH MAIN STREET</v>
      </c>
      <c r="M933" t="str">
        <f t="shared" si="288"/>
        <v>MFUSCO</v>
      </c>
    </row>
    <row r="934" spans="1:13" x14ac:dyDescent="0.25">
      <c r="A934" t="str">
        <f t="shared" si="283"/>
        <v>10</v>
      </c>
      <c r="B934" t="str">
        <f t="shared" si="284"/>
        <v>066</v>
      </c>
      <c r="C934" t="str">
        <f t="shared" si="285"/>
        <v>3010106</v>
      </c>
      <c r="D934" t="str">
        <f t="shared" si="286"/>
        <v>03</v>
      </c>
      <c r="E934" t="str">
        <f t="shared" si="289"/>
        <v>644700</v>
      </c>
      <c r="F934" t="str">
        <f>"06/30/14"</f>
        <v>06/30/14</v>
      </c>
      <c r="G934" t="str">
        <f>"180 SOUTH MAIN WATER 5"</f>
        <v>180 SOUTH MAIN WATER 5</v>
      </c>
      <c r="H934" s="4">
        <v>23.82</v>
      </c>
      <c r="I934" s="3"/>
      <c r="J934" t="str">
        <f t="shared" si="287"/>
        <v>PROVIDENCE WATER SUPPLY BOARD</v>
      </c>
      <c r="K934" t="str">
        <f>""</f>
        <v/>
      </c>
      <c r="L934" s="2" t="str">
        <f>"WATER CONSUMPTION 5/27-6/24/14"</f>
        <v>WATER CONSUMPTION 5/27-6/24/14</v>
      </c>
      <c r="M934" t="str">
        <f t="shared" si="288"/>
        <v>MFUSCO</v>
      </c>
    </row>
    <row r="935" spans="1:13" x14ac:dyDescent="0.25">
      <c r="A935" t="str">
        <f t="shared" si="283"/>
        <v>10</v>
      </c>
      <c r="B935" t="str">
        <f t="shared" si="284"/>
        <v>066</v>
      </c>
      <c r="C935" t="str">
        <f t="shared" si="285"/>
        <v>3010106</v>
      </c>
      <c r="D935" t="str">
        <f t="shared" si="286"/>
        <v>03</v>
      </c>
      <c r="E935" t="str">
        <f t="shared" si="289"/>
        <v>644700</v>
      </c>
      <c r="F935" t="str">
        <f>"06/30/14"</f>
        <v>06/30/14</v>
      </c>
      <c r="G935" t="str">
        <f>"ACCT 817145"</f>
        <v>ACCT 817145</v>
      </c>
      <c r="H935" s="4">
        <v>27.97</v>
      </c>
      <c r="I935" s="3"/>
      <c r="J935" t="str">
        <f t="shared" si="287"/>
        <v>PROVIDENCE WATER SUPPLY BOARD</v>
      </c>
      <c r="K935" t="str">
        <f>""</f>
        <v/>
      </c>
      <c r="L935" s="2" t="str">
        <f>"WATER FOR 4/24/14-5/27/14"</f>
        <v>WATER FOR 4/24/14-5/27/14</v>
      </c>
      <c r="M935" t="str">
        <f t="shared" si="288"/>
        <v>MFUSCO</v>
      </c>
    </row>
    <row r="936" spans="1:13" x14ac:dyDescent="0.25">
      <c r="A936" t="str">
        <f t="shared" si="283"/>
        <v>10</v>
      </c>
      <c r="B936" t="str">
        <f t="shared" si="284"/>
        <v>066</v>
      </c>
      <c r="C936" t="str">
        <f t="shared" si="285"/>
        <v>3010106</v>
      </c>
      <c r="D936" t="str">
        <f t="shared" si="286"/>
        <v>03</v>
      </c>
      <c r="E936" t="str">
        <f t="shared" si="289"/>
        <v>644700</v>
      </c>
      <c r="F936" t="str">
        <f>"06/30/15"</f>
        <v>06/30/15</v>
      </c>
      <c r="G936" t="str">
        <f>"15066MEF0604"</f>
        <v>15066MEF0604</v>
      </c>
      <c r="H936" s="4">
        <v>35.53</v>
      </c>
      <c r="I936" s="3"/>
      <c r="J936" t="str">
        <f t="shared" si="287"/>
        <v>PROVIDENCE WATER SUPPLY BOARD</v>
      </c>
      <c r="K936" t="str">
        <f>""</f>
        <v/>
      </c>
      <c r="L936" s="2" t="str">
        <f>"ACCT# 817145  4/9-5/12/15"</f>
        <v>ACCT# 817145  4/9-5/12/15</v>
      </c>
      <c r="M936" t="str">
        <f t="shared" si="288"/>
        <v>MFUSCO</v>
      </c>
    </row>
    <row r="937" spans="1:13" x14ac:dyDescent="0.25">
      <c r="A937" t="str">
        <f t="shared" si="283"/>
        <v>10</v>
      </c>
      <c r="B937" t="str">
        <f t="shared" si="284"/>
        <v>066</v>
      </c>
      <c r="C937" t="str">
        <f t="shared" si="285"/>
        <v>3010106</v>
      </c>
      <c r="D937" t="str">
        <f t="shared" si="286"/>
        <v>03</v>
      </c>
      <c r="E937" t="str">
        <f t="shared" si="289"/>
        <v>644700</v>
      </c>
      <c r="F937" t="str">
        <f>"06/30/15"</f>
        <v>06/30/15</v>
      </c>
      <c r="G937" t="str">
        <f>"15066MEF0607"</f>
        <v>15066MEF0607</v>
      </c>
      <c r="H937" s="4">
        <v>120.86</v>
      </c>
      <c r="I937" s="3"/>
      <c r="J937" t="str">
        <f t="shared" si="287"/>
        <v>PROVIDENCE WATER SUPPLY BOARD</v>
      </c>
      <c r="K937" t="str">
        <f>""</f>
        <v/>
      </c>
      <c r="L937" s="2" t="str">
        <f>"ACCT#817144  4/27-5/28/15"</f>
        <v>ACCT#817144  4/27-5/28/15</v>
      </c>
      <c r="M937" t="str">
        <f t="shared" si="288"/>
        <v>MFUSCO</v>
      </c>
    </row>
    <row r="938" spans="1:13" x14ac:dyDescent="0.25">
      <c r="A938" t="str">
        <f t="shared" si="283"/>
        <v>10</v>
      </c>
      <c r="B938" t="str">
        <f t="shared" si="284"/>
        <v>066</v>
      </c>
      <c r="C938" t="str">
        <f t="shared" si="285"/>
        <v>3010106</v>
      </c>
      <c r="D938" t="str">
        <f t="shared" si="286"/>
        <v>03</v>
      </c>
      <c r="E938" t="str">
        <f t="shared" si="289"/>
        <v>644700</v>
      </c>
      <c r="F938" t="str">
        <f>"06/30/15"</f>
        <v>06/30/15</v>
      </c>
      <c r="G938" t="str">
        <f>"15066MEF0698"</f>
        <v>15066MEF0698</v>
      </c>
      <c r="H938" s="4">
        <v>34.94</v>
      </c>
      <c r="I938" s="3"/>
      <c r="J938" t="str">
        <f t="shared" si="287"/>
        <v>PROVIDENCE WATER SUPPLY BOARD</v>
      </c>
      <c r="K938" t="str">
        <f>""</f>
        <v/>
      </c>
      <c r="L938" s="2" t="str">
        <f>"USAGE FROM 5/12-6/10/15"</f>
        <v>USAGE FROM 5/12-6/10/15</v>
      </c>
      <c r="M938" t="str">
        <f t="shared" si="288"/>
        <v>MFUSCO</v>
      </c>
    </row>
    <row r="939" spans="1:13" x14ac:dyDescent="0.25">
      <c r="A939" t="str">
        <f t="shared" si="283"/>
        <v>10</v>
      </c>
      <c r="B939" t="str">
        <f t="shared" si="284"/>
        <v>066</v>
      </c>
      <c r="C939" t="str">
        <f t="shared" si="285"/>
        <v>3010106</v>
      </c>
      <c r="D939" t="str">
        <f t="shared" si="286"/>
        <v>03</v>
      </c>
      <c r="E939" t="str">
        <f t="shared" si="289"/>
        <v>644700</v>
      </c>
      <c r="F939" t="str">
        <f>"06/30/16"</f>
        <v>06/30/16</v>
      </c>
      <c r="G939" t="str">
        <f>"16066MEF0850"</f>
        <v>16066MEF0850</v>
      </c>
      <c r="H939" s="4">
        <v>120.86</v>
      </c>
      <c r="I939" s="3"/>
      <c r="J939" t="str">
        <f t="shared" si="287"/>
        <v>PROVIDENCE WATER SUPPLY BOARD</v>
      </c>
      <c r="K939" t="str">
        <f>""</f>
        <v/>
      </c>
      <c r="L939" s="2" t="str">
        <f>"WATER AT 180 SOUTH MAIN ST"</f>
        <v>WATER AT 180 SOUTH MAIN ST</v>
      </c>
      <c r="M939" t="str">
        <f t="shared" si="288"/>
        <v>MFUSCO</v>
      </c>
    </row>
    <row r="940" spans="1:13" x14ac:dyDescent="0.25">
      <c r="A940" t="str">
        <f t="shared" si="283"/>
        <v>10</v>
      </c>
      <c r="B940" t="str">
        <f t="shared" si="284"/>
        <v>066</v>
      </c>
      <c r="C940" t="str">
        <f t="shared" si="285"/>
        <v>3010106</v>
      </c>
      <c r="D940" t="str">
        <f t="shared" si="286"/>
        <v>03</v>
      </c>
      <c r="E940" t="str">
        <f t="shared" si="289"/>
        <v>644700</v>
      </c>
      <c r="F940" t="str">
        <f>"06/30/16"</f>
        <v>06/30/16</v>
      </c>
      <c r="G940" t="str">
        <f>"16066MEF0911"</f>
        <v>16066MEF0911</v>
      </c>
      <c r="H940" s="4">
        <v>64.05</v>
      </c>
      <c r="I940" s="3"/>
      <c r="J940" t="str">
        <f t="shared" si="287"/>
        <v>PROVIDENCE WATER SUPPLY BOARD</v>
      </c>
      <c r="K940" t="str">
        <f>""</f>
        <v/>
      </c>
      <c r="L940" s="2" t="str">
        <f>"MONTHLY WATER BILL"</f>
        <v>MONTHLY WATER BILL</v>
      </c>
      <c r="M940" t="str">
        <f t="shared" si="288"/>
        <v>MFUSCO</v>
      </c>
    </row>
    <row r="941" spans="1:13" x14ac:dyDescent="0.25">
      <c r="A941" t="str">
        <f t="shared" si="283"/>
        <v>10</v>
      </c>
      <c r="B941" t="str">
        <f t="shared" si="284"/>
        <v>066</v>
      </c>
      <c r="C941" t="str">
        <f t="shared" si="285"/>
        <v>3010106</v>
      </c>
      <c r="D941" t="str">
        <f t="shared" si="286"/>
        <v>03</v>
      </c>
      <c r="E941" t="str">
        <f t="shared" si="289"/>
        <v>644700</v>
      </c>
      <c r="F941" t="str">
        <f>"06/30/16"</f>
        <v>06/30/16</v>
      </c>
      <c r="G941" t="str">
        <f>"1606MEF0929"</f>
        <v>1606MEF0929</v>
      </c>
      <c r="H941" s="4">
        <v>120.86</v>
      </c>
      <c r="I941" s="3"/>
      <c r="J941" t="str">
        <f t="shared" si="287"/>
        <v>PROVIDENCE WATER SUPPLY BOARD</v>
      </c>
      <c r="K941" t="str">
        <f>""</f>
        <v/>
      </c>
      <c r="L941" s="2" t="str">
        <f>"ACCT# 817144-WATER USEAGE 6/9-7/10"</f>
        <v>ACCT# 817144-WATER USEAGE 6/9-7/10</v>
      </c>
      <c r="M941" t="str">
        <f t="shared" si="288"/>
        <v>MFUSCO</v>
      </c>
    </row>
    <row r="942" spans="1:13" x14ac:dyDescent="0.25">
      <c r="A942" t="str">
        <f t="shared" si="283"/>
        <v>10</v>
      </c>
      <c r="B942" t="str">
        <f t="shared" si="284"/>
        <v>066</v>
      </c>
      <c r="C942" t="str">
        <f t="shared" si="285"/>
        <v>3010106</v>
      </c>
      <c r="D942" t="str">
        <f t="shared" si="286"/>
        <v>03</v>
      </c>
      <c r="E942" t="str">
        <f t="shared" si="289"/>
        <v>644700</v>
      </c>
      <c r="F942" t="str">
        <f>"06/30/17"</f>
        <v>06/30/17</v>
      </c>
      <c r="G942" t="str">
        <f>"17066MEF0591"</f>
        <v>17066MEF0591</v>
      </c>
      <c r="H942" s="4">
        <v>67.260000000000005</v>
      </c>
      <c r="I942" s="3"/>
      <c r="J942" t="str">
        <f t="shared" si="287"/>
        <v>PROVIDENCE WATER SUPPLY BOARD</v>
      </c>
      <c r="K942" t="str">
        <f>""</f>
        <v/>
      </c>
      <c r="L942" s="2" t="str">
        <f>"WATER FOR 180 FOR 4/24-5/25/17"</f>
        <v>WATER FOR 180 FOR 4/24-5/25/17</v>
      </c>
      <c r="M942" t="str">
        <f t="shared" si="288"/>
        <v>MFUSCO</v>
      </c>
    </row>
    <row r="943" spans="1:13" x14ac:dyDescent="0.25">
      <c r="A943" t="str">
        <f t="shared" si="283"/>
        <v>10</v>
      </c>
      <c r="B943" t="str">
        <f t="shared" si="284"/>
        <v>066</v>
      </c>
      <c r="C943" t="str">
        <f t="shared" si="285"/>
        <v>3010106</v>
      </c>
      <c r="D943" t="str">
        <f t="shared" si="286"/>
        <v>03</v>
      </c>
      <c r="E943" t="str">
        <f t="shared" si="289"/>
        <v>644700</v>
      </c>
      <c r="F943" t="str">
        <f>"06/30/17"</f>
        <v>06/30/17</v>
      </c>
      <c r="G943" t="str">
        <f>"17066MEF0616"</f>
        <v>17066MEF0616</v>
      </c>
      <c r="H943" s="4">
        <v>152.88</v>
      </c>
      <c r="I943" s="3"/>
      <c r="J943" t="str">
        <f t="shared" si="287"/>
        <v>PROVIDENCE WATER SUPPLY BOARD</v>
      </c>
      <c r="K943" t="str">
        <f>""</f>
        <v/>
      </c>
      <c r="L943" s="2" t="str">
        <f>"180 SOUTH MAIN STREET WATER"</f>
        <v>180 SOUTH MAIN STREET WATER</v>
      </c>
      <c r="M943" t="str">
        <f t="shared" si="288"/>
        <v>MFUSCO</v>
      </c>
    </row>
    <row r="944" spans="1:13" x14ac:dyDescent="0.25">
      <c r="A944" t="str">
        <f t="shared" si="283"/>
        <v>10</v>
      </c>
      <c r="B944" t="str">
        <f t="shared" si="284"/>
        <v>066</v>
      </c>
      <c r="C944" t="str">
        <f t="shared" si="285"/>
        <v>3010106</v>
      </c>
      <c r="D944" t="str">
        <f t="shared" si="286"/>
        <v>03</v>
      </c>
      <c r="E944" t="str">
        <f t="shared" si="289"/>
        <v>644700</v>
      </c>
      <c r="F944" t="str">
        <f>"06/30/17"</f>
        <v>06/30/17</v>
      </c>
      <c r="G944" t="str">
        <f>"17066MEF0647"</f>
        <v>17066MEF0647</v>
      </c>
      <c r="H944" s="4">
        <v>73.430000000000007</v>
      </c>
      <c r="I944" s="3"/>
      <c r="J944" t="str">
        <f t="shared" si="287"/>
        <v>PROVIDENCE WATER SUPPLY BOARD</v>
      </c>
      <c r="K944" t="str">
        <f>""</f>
        <v/>
      </c>
      <c r="L944" s="2" t="str">
        <f>"WATER FOR 180 SOUTH MAIN STREET"</f>
        <v>WATER FOR 180 SOUTH MAIN STREET</v>
      </c>
      <c r="M944" t="str">
        <f t="shared" si="288"/>
        <v>MFUSCO</v>
      </c>
    </row>
    <row r="945" spans="1:13" x14ac:dyDescent="0.25">
      <c r="A945" t="str">
        <f t="shared" si="283"/>
        <v>10</v>
      </c>
      <c r="B945" t="str">
        <f t="shared" si="284"/>
        <v>066</v>
      </c>
      <c r="C945" t="str">
        <f t="shared" si="285"/>
        <v>3010106</v>
      </c>
      <c r="D945" t="str">
        <f t="shared" si="286"/>
        <v>03</v>
      </c>
      <c r="E945" t="str">
        <f t="shared" si="289"/>
        <v>644700</v>
      </c>
      <c r="F945" t="str">
        <f>"07/31/15"</f>
        <v>07/31/15</v>
      </c>
      <c r="G945" t="str">
        <f>"16066MEF0007"</f>
        <v>16066MEF0007</v>
      </c>
      <c r="H945" s="4">
        <v>45.94</v>
      </c>
      <c r="I945" s="3"/>
      <c r="J945" t="str">
        <f t="shared" si="287"/>
        <v>PROVIDENCE WATER SUPPLY BOARD</v>
      </c>
      <c r="K945" t="str">
        <f>""</f>
        <v/>
      </c>
      <c r="L945" s="2" t="str">
        <f>"WATER FOR 6/10/15-7/13/14"</f>
        <v>WATER FOR 6/10/15-7/13/14</v>
      </c>
      <c r="M945" t="str">
        <f t="shared" si="288"/>
        <v>MFUSCO</v>
      </c>
    </row>
    <row r="946" spans="1:13" x14ac:dyDescent="0.25">
      <c r="A946" t="str">
        <f t="shared" si="283"/>
        <v>10</v>
      </c>
      <c r="B946" t="str">
        <f t="shared" si="284"/>
        <v>066</v>
      </c>
      <c r="C946" t="str">
        <f t="shared" si="285"/>
        <v>3010106</v>
      </c>
      <c r="D946" t="str">
        <f t="shared" si="286"/>
        <v>03</v>
      </c>
      <c r="E946" t="str">
        <f t="shared" si="289"/>
        <v>644700</v>
      </c>
      <c r="F946" t="str">
        <f>"08/31/14"</f>
        <v>08/31/14</v>
      </c>
      <c r="G946" t="str">
        <f>"ACCT# 817145"</f>
        <v>ACCT# 817145</v>
      </c>
      <c r="H946" s="4">
        <v>25.47</v>
      </c>
      <c r="I946" s="3"/>
      <c r="J946" t="str">
        <f t="shared" si="287"/>
        <v>PROVIDENCE WATER SUPPLY BOARD</v>
      </c>
      <c r="K946" t="str">
        <f>""</f>
        <v/>
      </c>
      <c r="L946" s="2" t="str">
        <f>"WATER USAGE 6/24-7/24/14-180 SOUTH MAIN STREET"</f>
        <v>WATER USAGE 6/24-7/24/14-180 SOUTH MAIN STREET</v>
      </c>
      <c r="M946" t="str">
        <f t="shared" si="288"/>
        <v>MFUSCO</v>
      </c>
    </row>
    <row r="947" spans="1:13" x14ac:dyDescent="0.25">
      <c r="A947" t="str">
        <f t="shared" si="283"/>
        <v>10</v>
      </c>
      <c r="B947" t="str">
        <f t="shared" si="284"/>
        <v>066</v>
      </c>
      <c r="C947" t="str">
        <f t="shared" si="285"/>
        <v>3010106</v>
      </c>
      <c r="D947" t="str">
        <f t="shared" si="286"/>
        <v>03</v>
      </c>
      <c r="E947" t="str">
        <f t="shared" si="289"/>
        <v>644700</v>
      </c>
      <c r="F947" t="str">
        <f>"08/31/15"</f>
        <v>08/31/15</v>
      </c>
      <c r="G947" t="str">
        <f>"16066MEF0040"</f>
        <v>16066MEF0040</v>
      </c>
      <c r="H947" s="4">
        <v>120.86</v>
      </c>
      <c r="I947" s="3"/>
      <c r="J947" t="str">
        <f t="shared" si="287"/>
        <v>PROVIDENCE WATER SUPPLY BOARD</v>
      </c>
      <c r="K947" t="str">
        <f>""</f>
        <v/>
      </c>
      <c r="L947" s="2" t="str">
        <f>"WATER USEAGE FROM 6/29-7/30/15"</f>
        <v>WATER USEAGE FROM 6/29-7/30/15</v>
      </c>
      <c r="M947" t="str">
        <f t="shared" si="288"/>
        <v>MFUSCO</v>
      </c>
    </row>
    <row r="948" spans="1:13" x14ac:dyDescent="0.25">
      <c r="A948" t="str">
        <f t="shared" si="283"/>
        <v>10</v>
      </c>
      <c r="B948" t="str">
        <f t="shared" si="284"/>
        <v>066</v>
      </c>
      <c r="C948" t="str">
        <f t="shared" si="285"/>
        <v>3010106</v>
      </c>
      <c r="D948" t="str">
        <f t="shared" si="286"/>
        <v>03</v>
      </c>
      <c r="E948" t="str">
        <f t="shared" si="289"/>
        <v>644700</v>
      </c>
      <c r="F948" t="str">
        <f>"08/31/15"</f>
        <v>08/31/15</v>
      </c>
      <c r="G948" t="str">
        <f>"16066MEF0081"</f>
        <v>16066MEF0081</v>
      </c>
      <c r="H948" s="4">
        <v>47.84</v>
      </c>
      <c r="I948" s="3"/>
      <c r="J948" t="str">
        <f t="shared" si="287"/>
        <v>PROVIDENCE WATER SUPPLY BOARD</v>
      </c>
      <c r="K948" t="str">
        <f>""</f>
        <v/>
      </c>
      <c r="L948" s="2" t="str">
        <f>"WATER FOR 180 SOUTH MAIN FOR 7/13-8/7/15"</f>
        <v>WATER FOR 180 SOUTH MAIN FOR 7/13-8/7/15</v>
      </c>
      <c r="M948" t="str">
        <f t="shared" si="288"/>
        <v>MFUSCO</v>
      </c>
    </row>
    <row r="949" spans="1:13" x14ac:dyDescent="0.25">
      <c r="A949" t="str">
        <f t="shared" si="283"/>
        <v>10</v>
      </c>
      <c r="B949" t="str">
        <f t="shared" si="284"/>
        <v>066</v>
      </c>
      <c r="C949" t="str">
        <f t="shared" si="285"/>
        <v>3010106</v>
      </c>
      <c r="D949" t="str">
        <f t="shared" si="286"/>
        <v>03</v>
      </c>
      <c r="E949" t="str">
        <f t="shared" si="289"/>
        <v>644700</v>
      </c>
      <c r="F949" t="str">
        <f>"09/30/14"</f>
        <v>09/30/14</v>
      </c>
      <c r="G949" t="str">
        <f>"ACCT#817145"</f>
        <v>ACCT#817145</v>
      </c>
      <c r="H949" s="4">
        <v>35.39</v>
      </c>
      <c r="I949" s="3"/>
      <c r="J949" t="str">
        <f t="shared" si="287"/>
        <v>PROVIDENCE WATER SUPPLY BOARD</v>
      </c>
      <c r="K949" t="str">
        <f>""</f>
        <v/>
      </c>
      <c r="L949" s="2" t="str">
        <f>"WATER USE 7/24-9/22/14"</f>
        <v>WATER USE 7/24-9/22/14</v>
      </c>
      <c r="M949" t="str">
        <f t="shared" si="288"/>
        <v>MFUSCO</v>
      </c>
    </row>
    <row r="950" spans="1:13" x14ac:dyDescent="0.25">
      <c r="A950" t="str">
        <f t="shared" si="283"/>
        <v>10</v>
      </c>
      <c r="B950" t="str">
        <f t="shared" si="284"/>
        <v>066</v>
      </c>
      <c r="C950" t="str">
        <f t="shared" si="285"/>
        <v>3010106</v>
      </c>
      <c r="D950" t="str">
        <f t="shared" si="286"/>
        <v>03</v>
      </c>
      <c r="E950" t="str">
        <f t="shared" si="289"/>
        <v>644700</v>
      </c>
      <c r="F950" t="str">
        <f>"09/30/15"</f>
        <v>09/30/15</v>
      </c>
      <c r="G950" t="str">
        <f>"16066MEF0098"</f>
        <v>16066MEF0098</v>
      </c>
      <c r="H950" s="4">
        <v>128.91</v>
      </c>
      <c r="I950" s="3"/>
      <c r="J950" t="str">
        <f t="shared" si="287"/>
        <v>PROVIDENCE WATER SUPPLY BOARD</v>
      </c>
      <c r="K950" t="str">
        <f>""</f>
        <v/>
      </c>
      <c r="L950" s="2" t="str">
        <f>"WATER FOR 7/30-8/31/15 FOR 180 SOUTH MAIN"</f>
        <v>WATER FOR 7/30-8/31/15 FOR 180 SOUTH MAIN</v>
      </c>
      <c r="M950" t="str">
        <f t="shared" si="288"/>
        <v>MFUSCO</v>
      </c>
    </row>
    <row r="951" spans="1:13" x14ac:dyDescent="0.25">
      <c r="A951" t="str">
        <f t="shared" si="283"/>
        <v>10</v>
      </c>
      <c r="B951" t="str">
        <f t="shared" si="284"/>
        <v>066</v>
      </c>
      <c r="C951" t="str">
        <f t="shared" si="285"/>
        <v>3010106</v>
      </c>
      <c r="D951" t="str">
        <f t="shared" si="286"/>
        <v>03</v>
      </c>
      <c r="E951" t="str">
        <f t="shared" si="289"/>
        <v>644700</v>
      </c>
      <c r="F951" t="str">
        <f>"09/30/16"</f>
        <v>09/30/16</v>
      </c>
      <c r="G951" t="str">
        <f>"17066MEF0097"</f>
        <v>17066MEF0097</v>
      </c>
      <c r="H951" s="4">
        <v>120.86</v>
      </c>
      <c r="I951" s="3"/>
      <c r="J951" t="str">
        <f t="shared" si="287"/>
        <v>PROVIDENCE WATER SUPPLY BOARD</v>
      </c>
      <c r="K951" t="str">
        <f>""</f>
        <v/>
      </c>
      <c r="L951" s="2" t="str">
        <f>"ACCT # 817144-WATER FOR 7/10=8/10/16"</f>
        <v>ACCT # 817144-WATER FOR 7/10=8/10/16</v>
      </c>
      <c r="M951" t="str">
        <f t="shared" si="288"/>
        <v>MFUSCO</v>
      </c>
    </row>
    <row r="952" spans="1:13" x14ac:dyDescent="0.25">
      <c r="A952" t="str">
        <f t="shared" si="283"/>
        <v>10</v>
      </c>
      <c r="B952" t="str">
        <f t="shared" si="284"/>
        <v>066</v>
      </c>
      <c r="C952" t="str">
        <f t="shared" si="285"/>
        <v>3010106</v>
      </c>
      <c r="D952" t="str">
        <f t="shared" si="286"/>
        <v>03</v>
      </c>
      <c r="E952" t="str">
        <f t="shared" si="289"/>
        <v>644700</v>
      </c>
      <c r="F952" t="str">
        <f>"09/30/16"</f>
        <v>09/30/16</v>
      </c>
      <c r="G952" t="str">
        <f>"17066MEF0100"</f>
        <v>17066MEF0100</v>
      </c>
      <c r="H952" s="4">
        <v>242.93</v>
      </c>
      <c r="I952" s="3"/>
      <c r="J952" t="str">
        <f t="shared" si="287"/>
        <v>PROVIDENCE WATER SUPPLY BOARD</v>
      </c>
      <c r="K952" t="str">
        <f>""</f>
        <v/>
      </c>
      <c r="L952" s="2" t="str">
        <f>"WATER FOR 180 SOUTH MAIN STREET 8/10/16-9/10/16"</f>
        <v>WATER FOR 180 SOUTH MAIN STREET 8/10/16-9/10/16</v>
      </c>
      <c r="M952" t="str">
        <f t="shared" si="288"/>
        <v>MFUSCO</v>
      </c>
    </row>
    <row r="953" spans="1:13" x14ac:dyDescent="0.25">
      <c r="A953" t="str">
        <f t="shared" si="283"/>
        <v>10</v>
      </c>
      <c r="B953" t="str">
        <f t="shared" si="284"/>
        <v>066</v>
      </c>
      <c r="C953" t="str">
        <f t="shared" si="285"/>
        <v>3010106</v>
      </c>
      <c r="D953" t="str">
        <f t="shared" si="286"/>
        <v>03</v>
      </c>
      <c r="E953" t="str">
        <f t="shared" si="289"/>
        <v>644700</v>
      </c>
      <c r="F953" t="str">
        <f>"10/31/14"</f>
        <v>10/31/14</v>
      </c>
      <c r="G953" t="str">
        <f>" #817145"</f>
        <v xml:space="preserve"> #817145</v>
      </c>
      <c r="H953" s="4">
        <v>26.11</v>
      </c>
      <c r="I953" s="3"/>
      <c r="J953" t="str">
        <f t="shared" si="287"/>
        <v>PROVIDENCE WATER SUPPLY BOARD</v>
      </c>
      <c r="K953" t="str">
        <f>""</f>
        <v/>
      </c>
      <c r="L953" s="2" t="str">
        <f>"180 SOUTH MAIN STREET WATER 8/26-9/26/14"</f>
        <v>180 SOUTH MAIN STREET WATER 8/26-9/26/14</v>
      </c>
      <c r="M953" t="str">
        <f t="shared" si="288"/>
        <v>MFUSCO</v>
      </c>
    </row>
    <row r="954" spans="1:13" x14ac:dyDescent="0.25">
      <c r="A954" t="str">
        <f t="shared" si="283"/>
        <v>10</v>
      </c>
      <c r="B954" t="str">
        <f t="shared" si="284"/>
        <v>066</v>
      </c>
      <c r="C954" t="str">
        <f t="shared" si="285"/>
        <v>3010106</v>
      </c>
      <c r="D954" t="str">
        <f t="shared" si="286"/>
        <v>03</v>
      </c>
      <c r="E954" t="str">
        <f t="shared" si="289"/>
        <v>644700</v>
      </c>
      <c r="F954" t="str">
        <f>"10/31/15"</f>
        <v>10/31/15</v>
      </c>
      <c r="G954" t="str">
        <f>"16066MEF0131"</f>
        <v>16066MEF0131</v>
      </c>
      <c r="H954" s="4">
        <v>65.86</v>
      </c>
      <c r="I954" s="3"/>
      <c r="J954" t="str">
        <f t="shared" si="287"/>
        <v>PROVIDENCE WATER SUPPLY BOARD</v>
      </c>
      <c r="K954" t="str">
        <f>""</f>
        <v/>
      </c>
      <c r="L954" s="2" t="str">
        <f>"ACCT#817145-180 SOUTH MAIN STREET 8/7-9/14/15"</f>
        <v>ACCT#817145-180 SOUTH MAIN STREET 8/7-9/14/15</v>
      </c>
      <c r="M954" t="str">
        <f t="shared" si="288"/>
        <v>MFUSCO</v>
      </c>
    </row>
    <row r="955" spans="1:13" x14ac:dyDescent="0.25">
      <c r="A955" t="str">
        <f t="shared" si="283"/>
        <v>10</v>
      </c>
      <c r="B955" t="str">
        <f t="shared" si="284"/>
        <v>066</v>
      </c>
      <c r="C955" t="str">
        <f t="shared" si="285"/>
        <v>3010106</v>
      </c>
      <c r="D955" t="str">
        <f t="shared" si="286"/>
        <v>03</v>
      </c>
      <c r="E955" t="str">
        <f t="shared" si="289"/>
        <v>644700</v>
      </c>
      <c r="F955" t="str">
        <f>"10/31/15"</f>
        <v>10/31/15</v>
      </c>
      <c r="G955" t="str">
        <f>"16066MEF0160"</f>
        <v>16066MEF0160</v>
      </c>
      <c r="H955" s="4">
        <v>120.86</v>
      </c>
      <c r="I955" s="3"/>
      <c r="J955" t="str">
        <f t="shared" si="287"/>
        <v>PROVIDENCE WATER SUPPLY BOARD</v>
      </c>
      <c r="K955" t="str">
        <f>""</f>
        <v/>
      </c>
      <c r="L955" s="2" t="str">
        <f>"180 SOUTH MAIN ST-8/31-10/1/15"</f>
        <v>180 SOUTH MAIN ST-8/31-10/1/15</v>
      </c>
      <c r="M955" t="str">
        <f t="shared" si="288"/>
        <v>MFUSCO</v>
      </c>
    </row>
    <row r="956" spans="1:13" x14ac:dyDescent="0.25">
      <c r="A956" t="str">
        <f t="shared" si="283"/>
        <v>10</v>
      </c>
      <c r="B956" t="str">
        <f t="shared" si="284"/>
        <v>066</v>
      </c>
      <c r="C956" t="str">
        <f t="shared" si="285"/>
        <v>3010106</v>
      </c>
      <c r="D956" t="str">
        <f t="shared" si="286"/>
        <v>03</v>
      </c>
      <c r="E956" t="str">
        <f t="shared" si="289"/>
        <v>644700</v>
      </c>
      <c r="F956" t="str">
        <f>"10/31/16"</f>
        <v>10/31/16</v>
      </c>
      <c r="G956" t="str">
        <f>"17066MEF0131"</f>
        <v>17066MEF0131</v>
      </c>
      <c r="H956" s="4">
        <v>49.43</v>
      </c>
      <c r="I956" s="3"/>
      <c r="J956" t="str">
        <f t="shared" si="287"/>
        <v>PROVIDENCE WATER SUPPLY BOARD</v>
      </c>
      <c r="K956" t="str">
        <f>""</f>
        <v/>
      </c>
      <c r="L956" s="2" t="str">
        <f>"WATER FOR 180 SOUTH MAIN ST"</f>
        <v>WATER FOR 180 SOUTH MAIN ST</v>
      </c>
      <c r="M956" t="str">
        <f t="shared" si="288"/>
        <v>MFUSCO</v>
      </c>
    </row>
    <row r="957" spans="1:13" x14ac:dyDescent="0.25">
      <c r="A957" t="str">
        <f t="shared" si="283"/>
        <v>10</v>
      </c>
      <c r="B957" t="str">
        <f t="shared" si="284"/>
        <v>066</v>
      </c>
      <c r="C957" t="str">
        <f t="shared" si="285"/>
        <v>3010106</v>
      </c>
      <c r="D957" t="str">
        <f t="shared" si="286"/>
        <v>03</v>
      </c>
      <c r="E957" t="str">
        <f t="shared" si="289"/>
        <v>644700</v>
      </c>
      <c r="F957" t="str">
        <f>"11/30/14"</f>
        <v>11/30/14</v>
      </c>
      <c r="G957" t="str">
        <f>"817145ACCT"</f>
        <v>817145ACCT</v>
      </c>
      <c r="H957" s="4">
        <v>29.42</v>
      </c>
      <c r="I957" s="3"/>
      <c r="J957" t="str">
        <f t="shared" si="287"/>
        <v>PROVIDENCE WATER SUPPLY BOARD</v>
      </c>
      <c r="K957" t="str">
        <f>""</f>
        <v/>
      </c>
      <c r="L957" s="2" t="str">
        <f>"ACCT#817145-180 SOUTH MAIN STREET 9/26-10/30/14"</f>
        <v>ACCT#817145-180 SOUTH MAIN STREET 9/26-10/30/14</v>
      </c>
      <c r="M957" t="str">
        <f t="shared" si="288"/>
        <v>MFUSCO</v>
      </c>
    </row>
    <row r="958" spans="1:13" x14ac:dyDescent="0.25">
      <c r="A958" t="str">
        <f t="shared" si="283"/>
        <v>10</v>
      </c>
      <c r="B958" t="str">
        <f t="shared" si="284"/>
        <v>066</v>
      </c>
      <c r="C958" t="str">
        <f t="shared" si="285"/>
        <v>3010106</v>
      </c>
      <c r="D958" t="str">
        <f t="shared" si="286"/>
        <v>03</v>
      </c>
      <c r="E958" t="str">
        <f t="shared" si="289"/>
        <v>644700</v>
      </c>
      <c r="F958" t="str">
        <f>"11/30/15"</f>
        <v>11/30/15</v>
      </c>
      <c r="G958" t="str">
        <f>"16066MEF0154"</f>
        <v>16066MEF0154</v>
      </c>
      <c r="H958" s="4">
        <v>128.91</v>
      </c>
      <c r="I958" s="3"/>
      <c r="J958" t="str">
        <f t="shared" si="287"/>
        <v>PROVIDENCE WATER SUPPLY BOARD</v>
      </c>
      <c r="K958" t="str">
        <f>""</f>
        <v/>
      </c>
      <c r="L958" s="2" t="str">
        <f>"WATER 10/1-11/2/15 FOR 180 SOUTH MAIN STREET, PROVIDENCE, RI"</f>
        <v>WATER 10/1-11/2/15 FOR 180 SOUTH MAIN STREET, PROVIDENCE, RI</v>
      </c>
      <c r="M958" t="str">
        <f t="shared" si="288"/>
        <v>MFUSCO</v>
      </c>
    </row>
    <row r="959" spans="1:13" x14ac:dyDescent="0.25">
      <c r="A959" t="str">
        <f t="shared" si="283"/>
        <v>10</v>
      </c>
      <c r="B959" t="str">
        <f t="shared" si="284"/>
        <v>066</v>
      </c>
      <c r="C959" t="str">
        <f t="shared" si="285"/>
        <v>3010106</v>
      </c>
      <c r="D959" t="str">
        <f t="shared" si="286"/>
        <v>03</v>
      </c>
      <c r="E959" t="str">
        <f t="shared" si="289"/>
        <v>644700</v>
      </c>
      <c r="F959" t="str">
        <f>"11/30/15"</f>
        <v>11/30/15</v>
      </c>
      <c r="G959" t="str">
        <f>"16066MEF0181"</f>
        <v>16066MEF0181</v>
      </c>
      <c r="H959" s="4">
        <v>55.41</v>
      </c>
      <c r="I959" s="3"/>
      <c r="J959" t="str">
        <f t="shared" si="287"/>
        <v>PROVIDENCE WATER SUPPLY BOARD</v>
      </c>
      <c r="K959" t="str">
        <f>""</f>
        <v/>
      </c>
      <c r="L959" s="2" t="str">
        <f>"FOR 180 SOUTH MAIN FROM 10/13-11/12/15"</f>
        <v>FOR 180 SOUTH MAIN FROM 10/13-11/12/15</v>
      </c>
      <c r="M959" t="str">
        <f t="shared" si="288"/>
        <v>MFUSCO</v>
      </c>
    </row>
    <row r="960" spans="1:13" x14ac:dyDescent="0.25">
      <c r="A960" t="str">
        <f t="shared" si="283"/>
        <v>10</v>
      </c>
      <c r="B960" t="str">
        <f t="shared" si="284"/>
        <v>066</v>
      </c>
      <c r="C960" t="str">
        <f t="shared" si="285"/>
        <v>3010106</v>
      </c>
      <c r="D960" t="str">
        <f t="shared" si="286"/>
        <v>03</v>
      </c>
      <c r="E960" t="str">
        <f t="shared" si="289"/>
        <v>644700</v>
      </c>
      <c r="F960" t="str">
        <f>"11/30/15"</f>
        <v>11/30/15</v>
      </c>
      <c r="G960" t="str">
        <f>"16066MEF0231"</f>
        <v>16066MEF0231</v>
      </c>
      <c r="H960" s="4">
        <v>54.75</v>
      </c>
      <c r="I960" s="3"/>
      <c r="J960" t="str">
        <f t="shared" si="287"/>
        <v>PROVIDENCE WATER SUPPLY BOARD</v>
      </c>
      <c r="K960" t="str">
        <f>""</f>
        <v/>
      </c>
      <c r="L960" s="2" t="str">
        <f>"ACCT# 817145-9/14-10/13/15"</f>
        <v>ACCT# 817145-9/14-10/13/15</v>
      </c>
      <c r="M960" t="str">
        <f t="shared" si="288"/>
        <v>MFUSCO</v>
      </c>
    </row>
    <row r="961" spans="1:13" x14ac:dyDescent="0.25">
      <c r="A961" t="str">
        <f t="shared" si="283"/>
        <v>10</v>
      </c>
      <c r="B961" t="str">
        <f t="shared" si="284"/>
        <v>066</v>
      </c>
      <c r="C961" t="str">
        <f t="shared" si="285"/>
        <v>3010106</v>
      </c>
      <c r="D961" t="str">
        <f t="shared" si="286"/>
        <v>03</v>
      </c>
      <c r="E961" t="str">
        <f t="shared" si="289"/>
        <v>644700</v>
      </c>
      <c r="F961" t="str">
        <f>"11/30/16"</f>
        <v>11/30/16</v>
      </c>
      <c r="G961" t="str">
        <f>"17066MEF0188"</f>
        <v>17066MEF0188</v>
      </c>
      <c r="H961" s="4">
        <v>57.41</v>
      </c>
      <c r="I961" s="3"/>
      <c r="J961" t="str">
        <f t="shared" si="287"/>
        <v>PROVIDENCE WATER SUPPLY BOARD</v>
      </c>
      <c r="K961" t="str">
        <f>""</f>
        <v/>
      </c>
      <c r="L961" s="2" t="str">
        <f>"180 SOUTH MAIN ACCT # 817145-9/20-10/21/16 WATER CONSUMPTION"</f>
        <v>180 SOUTH MAIN ACCT # 817145-9/20-10/21/16 WATER CONSUMPTION</v>
      </c>
      <c r="M961" t="str">
        <f t="shared" si="288"/>
        <v>MFUSCO</v>
      </c>
    </row>
    <row r="962" spans="1:13" x14ac:dyDescent="0.25">
      <c r="A962" t="str">
        <f t="shared" ref="A962:A967" si="290">"10"</f>
        <v>10</v>
      </c>
      <c r="B962" t="str">
        <f t="shared" ref="B962:B967" si="291">"066"</f>
        <v>066</v>
      </c>
      <c r="C962" t="str">
        <f t="shared" ref="C962:C967" si="292">"3010106"</f>
        <v>3010106</v>
      </c>
      <c r="D962" t="str">
        <f t="shared" ref="D962:D967" si="293">"03"</f>
        <v>03</v>
      </c>
      <c r="E962" t="str">
        <f t="shared" si="289"/>
        <v>644700</v>
      </c>
      <c r="F962" t="str">
        <f>"11/30/16"</f>
        <v>11/30/16</v>
      </c>
      <c r="G962" t="str">
        <f>"17066MEF0233"</f>
        <v>17066MEF0233</v>
      </c>
      <c r="H962" s="4">
        <v>120.86</v>
      </c>
      <c r="I962" s="3"/>
      <c r="J962" t="str">
        <f t="shared" ref="J962:J967" si="294">"PROVIDENCE WATER SUPPLY BOARD"</f>
        <v>PROVIDENCE WATER SUPPLY BOARD</v>
      </c>
      <c r="K962" t="str">
        <f>""</f>
        <v/>
      </c>
      <c r="L962" s="2" t="str">
        <f>"180 SOUTH MAIN STREET WATER-ACCT# 817144"</f>
        <v>180 SOUTH MAIN STREET WATER-ACCT# 817144</v>
      </c>
      <c r="M962" t="str">
        <f t="shared" si="288"/>
        <v>MFUSCO</v>
      </c>
    </row>
    <row r="963" spans="1:13" x14ac:dyDescent="0.25">
      <c r="A963" t="str">
        <f t="shared" si="290"/>
        <v>10</v>
      </c>
      <c r="B963" t="str">
        <f t="shared" si="291"/>
        <v>066</v>
      </c>
      <c r="C963" t="str">
        <f t="shared" si="292"/>
        <v>3010106</v>
      </c>
      <c r="D963" t="str">
        <f t="shared" si="293"/>
        <v>03</v>
      </c>
      <c r="E963" t="str">
        <f t="shared" si="289"/>
        <v>644700</v>
      </c>
      <c r="F963" t="str">
        <f>"12/31/14"</f>
        <v>12/31/14</v>
      </c>
      <c r="G963" t="str">
        <f>"10/20-11/20/14"</f>
        <v>10/20-11/20/14</v>
      </c>
      <c r="H963" s="4">
        <v>120.86</v>
      </c>
      <c r="I963" s="3"/>
      <c r="J963" t="str">
        <f t="shared" si="294"/>
        <v>PROVIDENCE WATER SUPPLY BOARD</v>
      </c>
      <c r="K963" t="str">
        <f>""</f>
        <v/>
      </c>
      <c r="L963" s="2" t="str">
        <f>"ACCT#817144-NOVEMBER, 2014"</f>
        <v>ACCT#817144-NOVEMBER, 2014</v>
      </c>
      <c r="M963" t="str">
        <f t="shared" ref="M963:M968" si="295">"MFUSCO"</f>
        <v>MFUSCO</v>
      </c>
    </row>
    <row r="964" spans="1:13" x14ac:dyDescent="0.25">
      <c r="A964" t="str">
        <f t="shared" si="290"/>
        <v>10</v>
      </c>
      <c r="B964" t="str">
        <f t="shared" si="291"/>
        <v>066</v>
      </c>
      <c r="C964" t="str">
        <f t="shared" si="292"/>
        <v>3010106</v>
      </c>
      <c r="D964" t="str">
        <f t="shared" si="293"/>
        <v>03</v>
      </c>
      <c r="E964" t="str">
        <f t="shared" ref="E964:E966" si="296">"644700"</f>
        <v>644700</v>
      </c>
      <c r="F964" t="str">
        <f>"12/31/14"</f>
        <v>12/31/14</v>
      </c>
      <c r="G964" t="str">
        <f>"15066MEF0085"</f>
        <v>15066MEF0085</v>
      </c>
      <c r="H964" s="4">
        <v>30.69</v>
      </c>
      <c r="I964" s="3"/>
      <c r="J964" t="str">
        <f t="shared" si="294"/>
        <v>PROVIDENCE WATER SUPPLY BOARD</v>
      </c>
      <c r="K964" t="str">
        <f>""</f>
        <v/>
      </c>
      <c r="L964" s="2" t="str">
        <f>"WATER USAGE 10/30-12/3/14"</f>
        <v>WATER USAGE 10/30-12/3/14</v>
      </c>
      <c r="M964" t="str">
        <f t="shared" si="295"/>
        <v>MFUSCO</v>
      </c>
    </row>
    <row r="965" spans="1:13" x14ac:dyDescent="0.25">
      <c r="A965" t="str">
        <f t="shared" si="290"/>
        <v>10</v>
      </c>
      <c r="B965" t="str">
        <f t="shared" si="291"/>
        <v>066</v>
      </c>
      <c r="C965" t="str">
        <f t="shared" si="292"/>
        <v>3010106</v>
      </c>
      <c r="D965" t="str">
        <f t="shared" si="293"/>
        <v>03</v>
      </c>
      <c r="E965" t="str">
        <f t="shared" si="296"/>
        <v>644700</v>
      </c>
      <c r="F965" t="str">
        <f>"12/31/15"</f>
        <v>12/31/15</v>
      </c>
      <c r="G965" t="str">
        <f>"16066MEF0331"</f>
        <v>16066MEF0331</v>
      </c>
      <c r="H965" s="4">
        <v>128.91</v>
      </c>
      <c r="I965" s="3"/>
      <c r="J965" t="str">
        <f t="shared" si="294"/>
        <v>PROVIDENCE WATER SUPPLY BOARD</v>
      </c>
      <c r="K965" t="str">
        <f>""</f>
        <v/>
      </c>
      <c r="L965" s="2" t="str">
        <f>"WATER FOR 180 SOUTH MAIN ST 11/2-12/4/15"</f>
        <v>WATER FOR 180 SOUTH MAIN ST 11/2-12/4/15</v>
      </c>
      <c r="M965" t="str">
        <f t="shared" si="295"/>
        <v>MFUSCO</v>
      </c>
    </row>
    <row r="966" spans="1:13" x14ac:dyDescent="0.25">
      <c r="A966" t="str">
        <f t="shared" si="290"/>
        <v>10</v>
      </c>
      <c r="B966" t="str">
        <f t="shared" si="291"/>
        <v>066</v>
      </c>
      <c r="C966" t="str">
        <f t="shared" si="292"/>
        <v>3010106</v>
      </c>
      <c r="D966" t="str">
        <f t="shared" si="293"/>
        <v>03</v>
      </c>
      <c r="E966" t="str">
        <f t="shared" si="296"/>
        <v>644700</v>
      </c>
      <c r="F966" t="str">
        <f>"12/31/16"</f>
        <v>12/31/16</v>
      </c>
      <c r="G966" t="str">
        <f>"17066MEF0277"</f>
        <v>17066MEF0277</v>
      </c>
      <c r="H966" s="4">
        <v>52.43</v>
      </c>
      <c r="I966" s="3"/>
      <c r="J966" t="str">
        <f t="shared" si="294"/>
        <v>PROVIDENCE WATER SUPPLY BOARD</v>
      </c>
      <c r="K966" t="str">
        <f>""</f>
        <v/>
      </c>
      <c r="L966" s="2" t="str">
        <f>"ACCT#817145-180 SOUTH MAIN STREET"</f>
        <v>ACCT#817145-180 SOUTH MAIN STREET</v>
      </c>
      <c r="M966" t="str">
        <f t="shared" si="295"/>
        <v>MFUSCO</v>
      </c>
    </row>
    <row r="967" spans="1:13" x14ac:dyDescent="0.25">
      <c r="A967" t="str">
        <f t="shared" si="290"/>
        <v>10</v>
      </c>
      <c r="B967" t="str">
        <f t="shared" si="291"/>
        <v>066</v>
      </c>
      <c r="C967" t="str">
        <f t="shared" si="292"/>
        <v>3010106</v>
      </c>
      <c r="D967" t="str">
        <f t="shared" si="293"/>
        <v>03</v>
      </c>
      <c r="E967" t="str">
        <f>"644800"</f>
        <v>644800</v>
      </c>
      <c r="F967" t="str">
        <f>"08/31/14"</f>
        <v>08/31/14</v>
      </c>
      <c r="G967" t="str">
        <f>"15066MEF0059"</f>
        <v>15066MEF0059</v>
      </c>
      <c r="H967" s="3">
        <v>242.93</v>
      </c>
      <c r="I967" s="3"/>
      <c r="J967" t="str">
        <f t="shared" si="294"/>
        <v>PROVIDENCE WATER SUPPLY BOARD</v>
      </c>
      <c r="K967" t="str">
        <f>""</f>
        <v/>
      </c>
      <c r="L967" s="2" t="str">
        <f>"180 SOUTH MAIN WATER 7/21-8/21/14"</f>
        <v>180 SOUTH MAIN WATER 7/21-8/21/14</v>
      </c>
      <c r="M967" t="str">
        <f t="shared" si="295"/>
        <v>MFUSCO</v>
      </c>
    </row>
    <row r="968" spans="1:13" x14ac:dyDescent="0.25">
      <c r="H968" s="6">
        <f>SUM(H898:H967)</f>
        <v>6541.159999999998</v>
      </c>
      <c r="I968" s="6">
        <f>SUM(H898:H967)</f>
        <v>6541.159999999998</v>
      </c>
      <c r="L968" s="2"/>
      <c r="M968" t="str">
        <f t="shared" si="295"/>
        <v>MFUSCO</v>
      </c>
    </row>
    <row r="969" spans="1:13" x14ac:dyDescent="0.25">
      <c r="H969" s="3"/>
      <c r="I969" s="3"/>
      <c r="L969" s="2"/>
    </row>
    <row r="970" spans="1:13" ht="30" x14ac:dyDescent="0.25">
      <c r="A970" t="str">
        <f t="shared" ref="A970:A979" si="297">"10"</f>
        <v>10</v>
      </c>
      <c r="B970" t="str">
        <f t="shared" ref="B970:B979" si="298">"066"</f>
        <v>066</v>
      </c>
      <c r="C970" t="str">
        <f t="shared" ref="C970:C979" si="299">"3010106"</f>
        <v>3010106</v>
      </c>
      <c r="D970" t="str">
        <f t="shared" ref="D970:D979" si="300">"03"</f>
        <v>03</v>
      </c>
      <c r="E970" t="str">
        <f t="shared" ref="E970:E979" si="301">"661302"</f>
        <v>661302</v>
      </c>
      <c r="F970" t="str">
        <f>"02/28/17"</f>
        <v>02/28/17</v>
      </c>
      <c r="G970" t="str">
        <f>"201612-04"</f>
        <v>201612-04</v>
      </c>
      <c r="H970" s="3">
        <v>13430.17</v>
      </c>
      <c r="I970" s="3"/>
      <c r="J970" t="str">
        <f t="shared" ref="J970:J979" si="302">"R KEOUGH CONSTRUCTION INC"</f>
        <v>R KEOUGH CONSTRUCTION INC</v>
      </c>
      <c r="K970" t="str">
        <f t="shared" ref="K970:K979" si="303">"3491616"</f>
        <v>3491616</v>
      </c>
      <c r="L970" s="2" t="str">
        <f t="shared" ref="L970:L979" si="304">"9/8/16-6/30/17 -OWNER'S PROGRAM MANAGEMENT SERVICES - RI OFFICE OF AG CUSTOMER SERVICE CENTER, PASTORE CAMPUS, CRANSTON, RI"</f>
        <v>9/8/16-6/30/17 -OWNER'S PROGRAM MANAGEMENT SERVICES - RI OFFICE OF AG CUSTOMER SERVICE CENTER, PASTORE CAMPUS, CRANSTON, RI</v>
      </c>
    </row>
    <row r="971" spans="1:13" ht="30" x14ac:dyDescent="0.25">
      <c r="A971" t="str">
        <f t="shared" si="297"/>
        <v>10</v>
      </c>
      <c r="B971" t="str">
        <f t="shared" si="298"/>
        <v>066</v>
      </c>
      <c r="C971" t="str">
        <f t="shared" si="299"/>
        <v>3010106</v>
      </c>
      <c r="D971" t="str">
        <f t="shared" si="300"/>
        <v>03</v>
      </c>
      <c r="E971" t="str">
        <f t="shared" si="301"/>
        <v>661302</v>
      </c>
      <c r="F971" t="str">
        <f>"03/31/17"</f>
        <v>03/31/17</v>
      </c>
      <c r="G971" t="str">
        <f>"201612-05"</f>
        <v>201612-05</v>
      </c>
      <c r="H971" s="3">
        <v>13668.45</v>
      </c>
      <c r="I971" s="3"/>
      <c r="J971" t="str">
        <f t="shared" si="302"/>
        <v>R KEOUGH CONSTRUCTION INC</v>
      </c>
      <c r="K971" t="str">
        <f t="shared" si="303"/>
        <v>3491616</v>
      </c>
      <c r="L971" s="2" t="str">
        <f t="shared" si="304"/>
        <v>9/8/16-6/30/17 -OWNER'S PROGRAM MANAGEMENT SERVICES - RI OFFICE OF AG CUSTOMER SERVICE CENTER, PASTORE CAMPUS, CRANSTON, RI</v>
      </c>
      <c r="M971" t="str">
        <f t="shared" ref="M971:M980" si="305">"SVALLANT"</f>
        <v>SVALLANT</v>
      </c>
    </row>
    <row r="972" spans="1:13" ht="30" x14ac:dyDescent="0.25">
      <c r="A972" t="str">
        <f t="shared" si="297"/>
        <v>10</v>
      </c>
      <c r="B972" t="str">
        <f t="shared" si="298"/>
        <v>066</v>
      </c>
      <c r="C972" t="str">
        <f t="shared" si="299"/>
        <v>3010106</v>
      </c>
      <c r="D972" t="str">
        <f t="shared" si="300"/>
        <v>03</v>
      </c>
      <c r="E972" t="str">
        <f t="shared" si="301"/>
        <v>661302</v>
      </c>
      <c r="F972" t="str">
        <f>"03/31/17"</f>
        <v>03/31/17</v>
      </c>
      <c r="G972" t="str">
        <f>"201612-06"</f>
        <v>201612-06</v>
      </c>
      <c r="H972" s="3">
        <v>12801.25</v>
      </c>
      <c r="I972" s="3"/>
      <c r="J972" t="str">
        <f t="shared" si="302"/>
        <v>R KEOUGH CONSTRUCTION INC</v>
      </c>
      <c r="K972" t="str">
        <f t="shared" si="303"/>
        <v>3491616</v>
      </c>
      <c r="L972" s="2" t="str">
        <f t="shared" si="304"/>
        <v>9/8/16-6/30/17 -OWNER'S PROGRAM MANAGEMENT SERVICES - RI OFFICE OF AG CUSTOMER SERVICE CENTER, PASTORE CAMPUS, CRANSTON, RI</v>
      </c>
      <c r="M972" t="str">
        <f t="shared" si="305"/>
        <v>SVALLANT</v>
      </c>
    </row>
    <row r="973" spans="1:13" ht="30" x14ac:dyDescent="0.25">
      <c r="A973" t="str">
        <f t="shared" si="297"/>
        <v>10</v>
      </c>
      <c r="B973" t="str">
        <f t="shared" si="298"/>
        <v>066</v>
      </c>
      <c r="C973" t="str">
        <f t="shared" si="299"/>
        <v>3010106</v>
      </c>
      <c r="D973" t="str">
        <f t="shared" si="300"/>
        <v>03</v>
      </c>
      <c r="E973" t="str">
        <f t="shared" si="301"/>
        <v>661302</v>
      </c>
      <c r="F973" t="str">
        <f>"04/30/17"</f>
        <v>04/30/17</v>
      </c>
      <c r="G973" t="str">
        <f>"201612-07"</f>
        <v>201612-07</v>
      </c>
      <c r="H973" s="3">
        <v>11034.25</v>
      </c>
      <c r="I973" s="3"/>
      <c r="J973" t="str">
        <f t="shared" si="302"/>
        <v>R KEOUGH CONSTRUCTION INC</v>
      </c>
      <c r="K973" t="str">
        <f t="shared" si="303"/>
        <v>3491616</v>
      </c>
      <c r="L973" s="2" t="str">
        <f t="shared" si="304"/>
        <v>9/8/16-6/30/17 -OWNER'S PROGRAM MANAGEMENT SERVICES - RI OFFICE OF AG CUSTOMER SERVICE CENTER, PASTORE CAMPUS, CRANSTON, RI</v>
      </c>
      <c r="M973" t="str">
        <f t="shared" si="305"/>
        <v>SVALLANT</v>
      </c>
    </row>
    <row r="974" spans="1:13" ht="30" x14ac:dyDescent="0.25">
      <c r="A974" t="str">
        <f t="shared" si="297"/>
        <v>10</v>
      </c>
      <c r="B974" t="str">
        <f t="shared" si="298"/>
        <v>066</v>
      </c>
      <c r="C974" t="str">
        <f t="shared" si="299"/>
        <v>3010106</v>
      </c>
      <c r="D974" t="str">
        <f t="shared" si="300"/>
        <v>03</v>
      </c>
      <c r="E974" t="str">
        <f t="shared" si="301"/>
        <v>661302</v>
      </c>
      <c r="F974" t="str">
        <f>"06/30/17"</f>
        <v>06/30/17</v>
      </c>
      <c r="G974" t="str">
        <f>"201612-08"</f>
        <v>201612-08</v>
      </c>
      <c r="H974" s="3">
        <v>12065</v>
      </c>
      <c r="I974" s="3"/>
      <c r="J974" t="str">
        <f t="shared" si="302"/>
        <v>R KEOUGH CONSTRUCTION INC</v>
      </c>
      <c r="K974" t="str">
        <f t="shared" si="303"/>
        <v>3491616</v>
      </c>
      <c r="L974" s="2" t="str">
        <f t="shared" si="304"/>
        <v>9/8/16-6/30/17 -OWNER'S PROGRAM MANAGEMENT SERVICES - RI OFFICE OF AG CUSTOMER SERVICE CENTER, PASTORE CAMPUS, CRANSTON, RI</v>
      </c>
      <c r="M974" t="str">
        <f t="shared" si="305"/>
        <v>SVALLANT</v>
      </c>
    </row>
    <row r="975" spans="1:13" ht="30" x14ac:dyDescent="0.25">
      <c r="A975" t="str">
        <f t="shared" si="297"/>
        <v>10</v>
      </c>
      <c r="B975" t="str">
        <f t="shared" si="298"/>
        <v>066</v>
      </c>
      <c r="C975" t="str">
        <f t="shared" si="299"/>
        <v>3010106</v>
      </c>
      <c r="D975" t="str">
        <f t="shared" si="300"/>
        <v>03</v>
      </c>
      <c r="E975" t="str">
        <f t="shared" si="301"/>
        <v>661302</v>
      </c>
      <c r="F975" t="str">
        <f>"06/30/17"</f>
        <v>06/30/17</v>
      </c>
      <c r="G975" t="str">
        <f>"201612-09"</f>
        <v>201612-09</v>
      </c>
      <c r="H975" s="3">
        <v>13511.37</v>
      </c>
      <c r="I975" s="3"/>
      <c r="J975" t="str">
        <f t="shared" si="302"/>
        <v>R KEOUGH CONSTRUCTION INC</v>
      </c>
      <c r="K975" t="str">
        <f t="shared" si="303"/>
        <v>3491616</v>
      </c>
      <c r="L975" s="2" t="str">
        <f t="shared" si="304"/>
        <v>9/8/16-6/30/17 -OWNER'S PROGRAM MANAGEMENT SERVICES - RI OFFICE OF AG CUSTOMER SERVICE CENTER, PASTORE CAMPUS, CRANSTON, RI</v>
      </c>
      <c r="M975" t="str">
        <f t="shared" si="305"/>
        <v>SVALLANT</v>
      </c>
    </row>
    <row r="976" spans="1:13" ht="30" x14ac:dyDescent="0.25">
      <c r="A976" t="str">
        <f t="shared" si="297"/>
        <v>10</v>
      </c>
      <c r="B976" t="str">
        <f t="shared" si="298"/>
        <v>066</v>
      </c>
      <c r="C976" t="str">
        <f t="shared" si="299"/>
        <v>3010106</v>
      </c>
      <c r="D976" t="str">
        <f t="shared" si="300"/>
        <v>03</v>
      </c>
      <c r="E976" t="str">
        <f t="shared" si="301"/>
        <v>661302</v>
      </c>
      <c r="F976" t="str">
        <f>"06/30/17"</f>
        <v>06/30/17</v>
      </c>
      <c r="G976" t="str">
        <f>"201612-10"</f>
        <v>201612-10</v>
      </c>
      <c r="H976" s="3">
        <v>13561.25</v>
      </c>
      <c r="I976" s="3"/>
      <c r="J976" t="str">
        <f t="shared" si="302"/>
        <v>R KEOUGH CONSTRUCTION INC</v>
      </c>
      <c r="K976" t="str">
        <f t="shared" si="303"/>
        <v>3491616</v>
      </c>
      <c r="L976" s="2" t="str">
        <f t="shared" si="304"/>
        <v>9/8/16-6/30/17 -OWNER'S PROGRAM MANAGEMENT SERVICES - RI OFFICE OF AG CUSTOMER SERVICE CENTER, PASTORE CAMPUS, CRANSTON, RI</v>
      </c>
      <c r="M976" t="str">
        <f t="shared" si="305"/>
        <v>SVALLANT</v>
      </c>
    </row>
    <row r="977" spans="1:13" ht="30" x14ac:dyDescent="0.25">
      <c r="A977" t="str">
        <f t="shared" si="297"/>
        <v>10</v>
      </c>
      <c r="B977" t="str">
        <f t="shared" si="298"/>
        <v>066</v>
      </c>
      <c r="C977" t="str">
        <f t="shared" si="299"/>
        <v>3010106</v>
      </c>
      <c r="D977" t="str">
        <f t="shared" si="300"/>
        <v>03</v>
      </c>
      <c r="E977" t="str">
        <f t="shared" si="301"/>
        <v>661302</v>
      </c>
      <c r="F977" t="str">
        <f>"11/30/16"</f>
        <v>11/30/16</v>
      </c>
      <c r="G977" t="str">
        <f>"201612-01"</f>
        <v>201612-01</v>
      </c>
      <c r="H977" s="3">
        <v>12395.76</v>
      </c>
      <c r="I977" s="3"/>
      <c r="J977" t="str">
        <f t="shared" si="302"/>
        <v>R KEOUGH CONSTRUCTION INC</v>
      </c>
      <c r="K977" t="str">
        <f t="shared" si="303"/>
        <v>3491616</v>
      </c>
      <c r="L977" s="2" t="str">
        <f t="shared" si="304"/>
        <v>9/8/16-6/30/17 -OWNER'S PROGRAM MANAGEMENT SERVICES - RI OFFICE OF AG CUSTOMER SERVICE CENTER, PASTORE CAMPUS, CRANSTON, RI</v>
      </c>
      <c r="M977" t="str">
        <f t="shared" si="305"/>
        <v>SVALLANT</v>
      </c>
    </row>
    <row r="978" spans="1:13" ht="30" x14ac:dyDescent="0.25">
      <c r="A978" t="str">
        <f t="shared" si="297"/>
        <v>10</v>
      </c>
      <c r="B978" t="str">
        <f t="shared" si="298"/>
        <v>066</v>
      </c>
      <c r="C978" t="str">
        <f t="shared" si="299"/>
        <v>3010106</v>
      </c>
      <c r="D978" t="str">
        <f t="shared" si="300"/>
        <v>03</v>
      </c>
      <c r="E978" t="str">
        <f t="shared" si="301"/>
        <v>661302</v>
      </c>
      <c r="F978" t="str">
        <f>"12/31/16"</f>
        <v>12/31/16</v>
      </c>
      <c r="G978" t="str">
        <f>"201612-02"</f>
        <v>201612-02</v>
      </c>
      <c r="H978" s="3">
        <v>12388</v>
      </c>
      <c r="I978" s="3"/>
      <c r="J978" t="str">
        <f t="shared" si="302"/>
        <v>R KEOUGH CONSTRUCTION INC</v>
      </c>
      <c r="K978" t="str">
        <f t="shared" si="303"/>
        <v>3491616</v>
      </c>
      <c r="L978" s="2" t="str">
        <f t="shared" si="304"/>
        <v>9/8/16-6/30/17 -OWNER'S PROGRAM MANAGEMENT SERVICES - RI OFFICE OF AG CUSTOMER SERVICE CENTER, PASTORE CAMPUS, CRANSTON, RI</v>
      </c>
      <c r="M978" t="str">
        <f t="shared" si="305"/>
        <v>SVALLANT</v>
      </c>
    </row>
    <row r="979" spans="1:13" ht="30" x14ac:dyDescent="0.25">
      <c r="A979" t="str">
        <f t="shared" si="297"/>
        <v>10</v>
      </c>
      <c r="B979" t="str">
        <f t="shared" si="298"/>
        <v>066</v>
      </c>
      <c r="C979" t="str">
        <f t="shared" si="299"/>
        <v>3010106</v>
      </c>
      <c r="D979" t="str">
        <f t="shared" si="300"/>
        <v>03</v>
      </c>
      <c r="E979" t="str">
        <f t="shared" si="301"/>
        <v>661302</v>
      </c>
      <c r="F979" t="str">
        <f>"12/31/16"</f>
        <v>12/31/16</v>
      </c>
      <c r="G979" t="str">
        <f>"201612-03"</f>
        <v>201612-03</v>
      </c>
      <c r="H979" s="3">
        <v>13393.12</v>
      </c>
      <c r="I979" s="3"/>
      <c r="J979" t="str">
        <f t="shared" si="302"/>
        <v>R KEOUGH CONSTRUCTION INC</v>
      </c>
      <c r="K979" t="str">
        <f t="shared" si="303"/>
        <v>3491616</v>
      </c>
      <c r="L979" s="2" t="str">
        <f t="shared" si="304"/>
        <v>9/8/16-6/30/17 -OWNER'S PROGRAM MANAGEMENT SERVICES - RI OFFICE OF AG CUSTOMER SERVICE CENTER, PASTORE CAMPUS, CRANSTON, RI</v>
      </c>
      <c r="M979" t="str">
        <f t="shared" si="305"/>
        <v>SVALLANT</v>
      </c>
    </row>
    <row r="980" spans="1:13" x14ac:dyDescent="0.25">
      <c r="H980" s="6">
        <f>SUM(H970:H979)</f>
        <v>128248.62</v>
      </c>
      <c r="I980" s="6">
        <f>SUM(H970:H979)</f>
        <v>128248.62</v>
      </c>
      <c r="L980" s="2"/>
      <c r="M980" t="str">
        <f t="shared" si="305"/>
        <v>SVALLANT</v>
      </c>
    </row>
    <row r="981" spans="1:13" x14ac:dyDescent="0.25">
      <c r="H981" s="3"/>
      <c r="I981" s="3"/>
      <c r="L981" s="2"/>
    </row>
    <row r="982" spans="1:13" x14ac:dyDescent="0.25">
      <c r="A982" t="str">
        <f>"10"</f>
        <v>10</v>
      </c>
      <c r="B982" t="str">
        <f>"066"</f>
        <v>066</v>
      </c>
      <c r="C982" t="str">
        <f>"3010106"</f>
        <v>3010106</v>
      </c>
      <c r="D982" t="str">
        <f>"03"</f>
        <v>03</v>
      </c>
      <c r="E982" t="str">
        <f>"640100"</f>
        <v>640100</v>
      </c>
      <c r="F982" t="str">
        <f>"09/30/16"</f>
        <v>09/30/16</v>
      </c>
      <c r="G982" t="str">
        <f>"16-7245"</f>
        <v>16-7245</v>
      </c>
      <c r="H982" s="4">
        <v>360</v>
      </c>
      <c r="I982" s="3"/>
      <c r="J982" t="str">
        <f>"R P O'CONNELL INC"</f>
        <v>R P O'CONNELL INC</v>
      </c>
      <c r="K982" t="str">
        <f>"3482009"</f>
        <v>3482009</v>
      </c>
      <c r="L982" s="2" t="str">
        <f>"hvac controls for 180"</f>
        <v>hvac controls for 180</v>
      </c>
    </row>
    <row r="983" spans="1:13" x14ac:dyDescent="0.25">
      <c r="A983" t="str">
        <f>"10"</f>
        <v>10</v>
      </c>
      <c r="B983" t="str">
        <f>"066"</f>
        <v>066</v>
      </c>
      <c r="C983" t="str">
        <f>"3010106"</f>
        <v>3010106</v>
      </c>
      <c r="D983" t="str">
        <f>"03"</f>
        <v>03</v>
      </c>
      <c r="E983" t="str">
        <f>"640100"</f>
        <v>640100</v>
      </c>
      <c r="F983" t="str">
        <f>"09/30/16"</f>
        <v>09/30/16</v>
      </c>
      <c r="G983" t="str">
        <f>"16-7454"</f>
        <v>16-7454</v>
      </c>
      <c r="H983" s="4">
        <v>840</v>
      </c>
      <c r="I983" s="3"/>
      <c r="J983" t="str">
        <f>"R P O'CONNELL INC"</f>
        <v>R P O'CONNELL INC</v>
      </c>
      <c r="K983" t="str">
        <f>"3482798"</f>
        <v>3482798</v>
      </c>
      <c r="L983" s="2" t="str">
        <f>"hvac control issues"</f>
        <v>hvac control issues</v>
      </c>
      <c r="M983" t="str">
        <f>"SVALLANT"</f>
        <v>SVALLANT</v>
      </c>
    </row>
    <row r="984" spans="1:13" x14ac:dyDescent="0.25">
      <c r="A984" t="str">
        <f>"10"</f>
        <v>10</v>
      </c>
      <c r="B984" t="str">
        <f>"066"</f>
        <v>066</v>
      </c>
      <c r="C984" t="str">
        <f>"3010106"</f>
        <v>3010106</v>
      </c>
      <c r="D984" t="str">
        <f>"03"</f>
        <v>03</v>
      </c>
      <c r="E984" t="str">
        <f>"640100"</f>
        <v>640100</v>
      </c>
      <c r="F984" t="str">
        <f>"10/31/15"</f>
        <v>10/31/15</v>
      </c>
      <c r="G984" t="str">
        <f>"15-4119"</f>
        <v>15-4119</v>
      </c>
      <c r="H984" s="4">
        <v>2160</v>
      </c>
      <c r="I984" s="3"/>
      <c r="J984" t="str">
        <f>"R P O'CONNELL INC"</f>
        <v>R P O'CONNELL INC</v>
      </c>
      <c r="K984" t="str">
        <f>"3437733"</f>
        <v>3437733</v>
      </c>
      <c r="L984" s="2" t="str">
        <f>"upgrade to Delta control system"</f>
        <v>upgrade to Delta control system</v>
      </c>
      <c r="M984" t="str">
        <f>"SVALLANT"</f>
        <v>SVALLANT</v>
      </c>
    </row>
    <row r="985" spans="1:13" x14ac:dyDescent="0.25">
      <c r="A985" t="str">
        <f>"10"</f>
        <v>10</v>
      </c>
      <c r="B985" t="str">
        <f>"066"</f>
        <v>066</v>
      </c>
      <c r="C985" t="str">
        <f>"3010106"</f>
        <v>3010106</v>
      </c>
      <c r="D985" t="str">
        <f>"03"</f>
        <v>03</v>
      </c>
      <c r="E985" t="str">
        <f>"640100"</f>
        <v>640100</v>
      </c>
      <c r="F985" t="str">
        <f>"12/31/16"</f>
        <v>12/31/16</v>
      </c>
      <c r="G985" t="str">
        <f>"16-8431"</f>
        <v>16-8431</v>
      </c>
      <c r="H985" s="4">
        <v>360</v>
      </c>
      <c r="I985" s="3"/>
      <c r="J985" t="str">
        <f>"R P O'CONNELL INC"</f>
        <v>R P O'CONNELL INC</v>
      </c>
      <c r="K985" t="str">
        <f>"3497023"</f>
        <v>3497023</v>
      </c>
      <c r="L985" s="2" t="str">
        <f>"hvac controls 180"</f>
        <v>hvac controls 180</v>
      </c>
      <c r="M985" t="str">
        <f>"MFUSCO"</f>
        <v>MFUSCO</v>
      </c>
    </row>
    <row r="986" spans="1:13" x14ac:dyDescent="0.25">
      <c r="A986" t="str">
        <f>"10"</f>
        <v>10</v>
      </c>
      <c r="B986" t="str">
        <f>"066"</f>
        <v>066</v>
      </c>
      <c r="C986" t="str">
        <f>"3010106"</f>
        <v>3010106</v>
      </c>
      <c r="D986" t="str">
        <f>"03"</f>
        <v>03</v>
      </c>
      <c r="E986" t="str">
        <f>"640100"</f>
        <v>640100</v>
      </c>
      <c r="F986" t="str">
        <f>"12/31/16"</f>
        <v>12/31/16</v>
      </c>
      <c r="G986" t="str">
        <f>"16-8432"</f>
        <v>16-8432</v>
      </c>
      <c r="H986" s="3">
        <v>508</v>
      </c>
      <c r="I986" s="3"/>
      <c r="J986" t="str">
        <f>"R P O'CONNELL INC"</f>
        <v>R P O'CONNELL INC</v>
      </c>
      <c r="K986" t="str">
        <f>"3497023"</f>
        <v>3497023</v>
      </c>
      <c r="L986" s="2" t="str">
        <f>"hvac controls 180"</f>
        <v>hvac controls 180</v>
      </c>
      <c r="M986" t="str">
        <f>"SVALLANT"</f>
        <v>SVALLANT</v>
      </c>
    </row>
    <row r="987" spans="1:13" x14ac:dyDescent="0.25">
      <c r="H987" s="6">
        <f>SUM(H982:H986)</f>
        <v>4228</v>
      </c>
      <c r="I987" s="6">
        <f>SUM(H982:H986)</f>
        <v>4228</v>
      </c>
      <c r="L987" s="2"/>
      <c r="M987" t="str">
        <f>"SVALLANT"</f>
        <v>SVALLANT</v>
      </c>
    </row>
    <row r="988" spans="1:13" x14ac:dyDescent="0.25">
      <c r="H988" s="3"/>
      <c r="I988" s="3"/>
      <c r="L988" s="2"/>
    </row>
    <row r="989" spans="1:13" x14ac:dyDescent="0.25">
      <c r="A989" t="str">
        <f>"10"</f>
        <v>10</v>
      </c>
      <c r="B989" t="str">
        <f>"066"</f>
        <v>066</v>
      </c>
      <c r="C989" t="str">
        <f>"3010106"</f>
        <v>3010106</v>
      </c>
      <c r="D989" t="str">
        <f>"03"</f>
        <v>03</v>
      </c>
      <c r="E989" t="str">
        <f>"640100"</f>
        <v>640100</v>
      </c>
      <c r="F989" t="str">
        <f>"04/30/14"</f>
        <v>04/30/14</v>
      </c>
      <c r="G989" t="str">
        <f>"8286"</f>
        <v>8286</v>
      </c>
      <c r="H989" s="6">
        <v>177.5</v>
      </c>
      <c r="I989" s="6">
        <f>SUM(H989)</f>
        <v>177.5</v>
      </c>
      <c r="J989" t="str">
        <f>"REGAN HEATING &amp; AIR CONDITIONING INC"</f>
        <v>REGAN HEATING &amp; AIR CONDITIONING INC</v>
      </c>
      <c r="K989" t="str">
        <f>"3370183"</f>
        <v>3370183</v>
      </c>
      <c r="L989" s="2" t="str">
        <f>"troubleshoot 180 south main - no heat"</f>
        <v>troubleshoot 180 south main - no heat</v>
      </c>
    </row>
    <row r="990" spans="1:13" x14ac:dyDescent="0.25">
      <c r="H990" s="3"/>
      <c r="I990" s="3"/>
      <c r="L990" s="2"/>
      <c r="M990" t="str">
        <f>"SVALLANT"</f>
        <v>SVALLANT</v>
      </c>
    </row>
    <row r="991" spans="1:13" x14ac:dyDescent="0.25">
      <c r="A991" t="str">
        <f>"10"</f>
        <v>10</v>
      </c>
      <c r="B991" t="str">
        <f>"066"</f>
        <v>066</v>
      </c>
      <c r="C991" t="str">
        <f>"3010106"</f>
        <v>3010106</v>
      </c>
      <c r="D991" t="str">
        <f>"03"</f>
        <v>03</v>
      </c>
      <c r="E991" t="str">
        <f>"640100"</f>
        <v>640100</v>
      </c>
      <c r="F991" t="str">
        <f>"05/31/17"</f>
        <v>05/31/17</v>
      </c>
      <c r="G991" t="str">
        <f>"11310REV"</f>
        <v>11310REV</v>
      </c>
      <c r="H991" s="3">
        <v>70</v>
      </c>
      <c r="I991" s="3"/>
      <c r="J991" t="str">
        <f>"RI ANALYTICAL LABORATORIES INC"</f>
        <v>RI ANALYTICAL LABORATORIES INC</v>
      </c>
      <c r="K991" t="str">
        <f>"3456319"</f>
        <v>3456319</v>
      </c>
      <c r="L991" s="2" t="str">
        <f>"MPA-194  FY16-17  PROJECT MANAGER - ABATEMENT PROJECT ELEMENTS"</f>
        <v>MPA-194  FY16-17  PROJECT MANAGER - ABATEMENT PROJECT ELEMENTS</v>
      </c>
    </row>
    <row r="992" spans="1:13" x14ac:dyDescent="0.25">
      <c r="A992" t="str">
        <f>"10"</f>
        <v>10</v>
      </c>
      <c r="B992" t="str">
        <f>"066"</f>
        <v>066</v>
      </c>
      <c r="C992" t="str">
        <f>"3010106"</f>
        <v>3010106</v>
      </c>
      <c r="D992" t="str">
        <f>"03"</f>
        <v>03</v>
      </c>
      <c r="E992" t="str">
        <f>"640100"</f>
        <v>640100</v>
      </c>
      <c r="F992" t="str">
        <f>"05/31/17"</f>
        <v>05/31/17</v>
      </c>
      <c r="G992" t="str">
        <f>"11310REV"</f>
        <v>11310REV</v>
      </c>
      <c r="H992" s="3">
        <v>20</v>
      </c>
      <c r="I992" s="3"/>
      <c r="J992" t="str">
        <f>"RI ANALYTICAL LABORATORIES INC"</f>
        <v>RI ANALYTICAL LABORATORIES INC</v>
      </c>
      <c r="K992" t="str">
        <f>"3456319"</f>
        <v>3456319</v>
      </c>
      <c r="L992" s="2" t="str">
        <f>"MPA-194  FY16-17  BULK SAMPLES (PLM) 24 HOUR TURNAROUND - ANALYTICAL SERVICES"</f>
        <v>MPA-194  FY16-17  BULK SAMPLES (PLM) 24 HOUR TURNAROUND - ANALYTICAL SERVICES</v>
      </c>
      <c r="M992" t="str">
        <f>"SVALLANT"</f>
        <v>SVALLANT</v>
      </c>
    </row>
    <row r="993" spans="1:13" x14ac:dyDescent="0.25">
      <c r="H993" s="6">
        <f>SUM(H991:H992)</f>
        <v>90</v>
      </c>
      <c r="I993" s="6">
        <f>SUM(H991:H992)</f>
        <v>90</v>
      </c>
      <c r="L993" s="2"/>
      <c r="M993" t="str">
        <f>"SVALLANT"</f>
        <v>SVALLANT</v>
      </c>
    </row>
    <row r="994" spans="1:13" x14ac:dyDescent="0.25">
      <c r="H994" s="3"/>
      <c r="I994" s="3"/>
      <c r="L994" s="2"/>
    </row>
    <row r="995" spans="1:13" x14ac:dyDescent="0.25">
      <c r="A995" t="str">
        <f>"10"</f>
        <v>10</v>
      </c>
      <c r="B995" t="str">
        <f>"066"</f>
        <v>066</v>
      </c>
      <c r="C995" t="str">
        <f>"3010106"</f>
        <v>3010106</v>
      </c>
      <c r="D995" t="str">
        <f>"03"</f>
        <v>03</v>
      </c>
      <c r="E995" t="str">
        <f>"643810"</f>
        <v>643810</v>
      </c>
      <c r="F995" t="str">
        <f>"05/31/14"</f>
        <v>05/31/14</v>
      </c>
      <c r="G995" t="str">
        <f>"INS. ON 180 SOUTH MAIN"</f>
        <v>INS. ON 180 SOUTH MAIN</v>
      </c>
      <c r="H995" s="6">
        <v>1628.68</v>
      </c>
      <c r="I995" s="6">
        <f>SUM(H995)</f>
        <v>1628.68</v>
      </c>
      <c r="J995" t="str">
        <f>"RI ASSOCIATION  OF INSURANCE AGENTS"</f>
        <v>RI ASSOCIATION  OF INSURANCE AGENTS</v>
      </c>
      <c r="K995" t="str">
        <f>""</f>
        <v/>
      </c>
      <c r="L995" s="2" t="str">
        <f>"COVERAGE FOR 180 SOUTH MAIN STREET"</f>
        <v>COVERAGE FOR 180 SOUTH MAIN STREET</v>
      </c>
    </row>
    <row r="996" spans="1:13" x14ac:dyDescent="0.25">
      <c r="H996" s="6"/>
      <c r="I996" s="6"/>
      <c r="L996" s="2"/>
      <c r="M996" t="str">
        <f>"MFUSCO"</f>
        <v>MFUSCO</v>
      </c>
    </row>
    <row r="997" spans="1:13" x14ac:dyDescent="0.25">
      <c r="A997" t="str">
        <f t="shared" ref="A997:A1004" si="306">"10"</f>
        <v>10</v>
      </c>
      <c r="B997" t="str">
        <f t="shared" ref="B997:B1004" si="307">"066"</f>
        <v>066</v>
      </c>
      <c r="C997" t="str">
        <f t="shared" ref="C997:C1004" si="308">"3010106"</f>
        <v>3010106</v>
      </c>
      <c r="D997" t="str">
        <f t="shared" ref="D997:D1004" si="309">"03"</f>
        <v>03</v>
      </c>
      <c r="E997" t="str">
        <f t="shared" ref="E997:E1004" si="310">"640100"</f>
        <v>640100</v>
      </c>
      <c r="F997" t="str">
        <f>"02/28/15"</f>
        <v>02/28/15</v>
      </c>
      <c r="G997" t="str">
        <f>"9513"</f>
        <v>9513</v>
      </c>
      <c r="H997" s="3">
        <v>335</v>
      </c>
      <c r="I997" s="3"/>
      <c r="J997" t="str">
        <f t="shared" ref="J997:J1004" si="311">"ROBERT F AUDET INC"</f>
        <v>ROBERT F AUDET INC</v>
      </c>
      <c r="K997" t="str">
        <f t="shared" ref="K997:K1004" si="312">"3260741"</f>
        <v>3260741</v>
      </c>
      <c r="L997" s="2" t="str">
        <f>"MPA-41 7/1/13-3/31/15 - ELECTRICIAN STRAIGHT TIME"</f>
        <v>MPA-41 7/1/13-3/31/15 - ELECTRICIAN STRAIGHT TIME</v>
      </c>
    </row>
    <row r="998" spans="1:13" ht="30" x14ac:dyDescent="0.25">
      <c r="A998" t="str">
        <f t="shared" si="306"/>
        <v>10</v>
      </c>
      <c r="B998" t="str">
        <f t="shared" si="307"/>
        <v>066</v>
      </c>
      <c r="C998" t="str">
        <f t="shared" si="308"/>
        <v>3010106</v>
      </c>
      <c r="D998" t="str">
        <f t="shared" si="309"/>
        <v>03</v>
      </c>
      <c r="E998" t="str">
        <f t="shared" si="310"/>
        <v>640100</v>
      </c>
      <c r="F998" t="str">
        <f>"02/28/15"</f>
        <v>02/28/15</v>
      </c>
      <c r="G998" t="str">
        <f>"9513"</f>
        <v>9513</v>
      </c>
      <c r="H998" s="3">
        <v>52</v>
      </c>
      <c r="I998" s="3"/>
      <c r="J998" t="str">
        <f t="shared" si="311"/>
        <v>ROBERT F AUDET INC</v>
      </c>
      <c r="K998" t="str">
        <f t="shared" si="312"/>
        <v>3260741</v>
      </c>
      <c r="L998"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998" t="str">
        <f t="shared" ref="M998:M1003" si="313">"SVALLANT"</f>
        <v>SVALLANT</v>
      </c>
    </row>
    <row r="999" spans="1:13" x14ac:dyDescent="0.25">
      <c r="A999" t="str">
        <f t="shared" si="306"/>
        <v>10</v>
      </c>
      <c r="B999" t="str">
        <f t="shared" si="307"/>
        <v>066</v>
      </c>
      <c r="C999" t="str">
        <f t="shared" si="308"/>
        <v>3010106</v>
      </c>
      <c r="D999" t="str">
        <f t="shared" si="309"/>
        <v>03</v>
      </c>
      <c r="E999" t="str">
        <f t="shared" si="310"/>
        <v>640100</v>
      </c>
      <c r="F999" t="str">
        <f>"02/28/15"</f>
        <v>02/28/15</v>
      </c>
      <c r="G999" t="str">
        <f>"9561"</f>
        <v>9561</v>
      </c>
      <c r="H999" s="3">
        <v>201</v>
      </c>
      <c r="I999" s="3"/>
      <c r="J999" t="str">
        <f t="shared" si="311"/>
        <v>ROBERT F AUDET INC</v>
      </c>
      <c r="K999" t="str">
        <f t="shared" si="312"/>
        <v>3260741</v>
      </c>
      <c r="L999" s="2" t="str">
        <f>"MPA-41 7/1/13-3/31/15 - ELECTRICIAN STRAIGHT TIME"</f>
        <v>MPA-41 7/1/13-3/31/15 - ELECTRICIAN STRAIGHT TIME</v>
      </c>
      <c r="M999" t="str">
        <f t="shared" si="313"/>
        <v>SVALLANT</v>
      </c>
    </row>
    <row r="1000" spans="1:13" ht="30" x14ac:dyDescent="0.25">
      <c r="A1000" t="str">
        <f t="shared" si="306"/>
        <v>10</v>
      </c>
      <c r="B1000" t="str">
        <f t="shared" si="307"/>
        <v>066</v>
      </c>
      <c r="C1000" t="str">
        <f t="shared" si="308"/>
        <v>3010106</v>
      </c>
      <c r="D1000" t="str">
        <f t="shared" si="309"/>
        <v>03</v>
      </c>
      <c r="E1000" t="str">
        <f t="shared" si="310"/>
        <v>640100</v>
      </c>
      <c r="F1000" t="str">
        <f>"02/28/15"</f>
        <v>02/28/15</v>
      </c>
      <c r="G1000" t="str">
        <f>"9561"</f>
        <v>9561</v>
      </c>
      <c r="H1000" s="3">
        <v>40.15</v>
      </c>
      <c r="I1000" s="3"/>
      <c r="J1000" t="str">
        <f t="shared" si="311"/>
        <v>ROBERT F AUDET INC</v>
      </c>
      <c r="K1000" t="str">
        <f t="shared" si="312"/>
        <v>3260741</v>
      </c>
      <c r="L1000"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1000" t="str">
        <f t="shared" si="313"/>
        <v>SVALLANT</v>
      </c>
    </row>
    <row r="1001" spans="1:13" x14ac:dyDescent="0.25">
      <c r="A1001" t="str">
        <f t="shared" si="306"/>
        <v>10</v>
      </c>
      <c r="B1001" t="str">
        <f t="shared" si="307"/>
        <v>066</v>
      </c>
      <c r="C1001" t="str">
        <f t="shared" si="308"/>
        <v>3010106</v>
      </c>
      <c r="D1001" t="str">
        <f t="shared" si="309"/>
        <v>03</v>
      </c>
      <c r="E1001" t="str">
        <f t="shared" si="310"/>
        <v>640100</v>
      </c>
      <c r="F1001" t="str">
        <f>"06/30/14"</f>
        <v>06/30/14</v>
      </c>
      <c r="G1001" t="str">
        <f>"9317"</f>
        <v>9317</v>
      </c>
      <c r="H1001" s="3">
        <v>742</v>
      </c>
      <c r="I1001" s="3"/>
      <c r="J1001" t="str">
        <f t="shared" si="311"/>
        <v>ROBERT F AUDET INC</v>
      </c>
      <c r="K1001" t="str">
        <f t="shared" si="312"/>
        <v>3260741</v>
      </c>
      <c r="L1001" s="2" t="str">
        <f>"MPA-41 7/1/13-6/30/13HELPER STRAIGHT TIME"</f>
        <v>MPA-41 7/1/13-6/30/13HELPER STRAIGHT TIME</v>
      </c>
      <c r="M1001" t="str">
        <f t="shared" si="313"/>
        <v>SVALLANT</v>
      </c>
    </row>
    <row r="1002" spans="1:13" x14ac:dyDescent="0.25">
      <c r="A1002" t="str">
        <f t="shared" si="306"/>
        <v>10</v>
      </c>
      <c r="B1002" t="str">
        <f t="shared" si="307"/>
        <v>066</v>
      </c>
      <c r="C1002" t="str">
        <f t="shared" si="308"/>
        <v>3010106</v>
      </c>
      <c r="D1002" t="str">
        <f t="shared" si="309"/>
        <v>03</v>
      </c>
      <c r="E1002" t="str">
        <f t="shared" si="310"/>
        <v>640100</v>
      </c>
      <c r="F1002" t="str">
        <f>"06/30/14"</f>
        <v>06/30/14</v>
      </c>
      <c r="G1002" t="str">
        <f>"9317"</f>
        <v>9317</v>
      </c>
      <c r="H1002" s="3">
        <v>1139</v>
      </c>
      <c r="I1002" s="3"/>
      <c r="J1002" t="str">
        <f t="shared" si="311"/>
        <v>ROBERT F AUDET INC</v>
      </c>
      <c r="K1002" t="str">
        <f t="shared" si="312"/>
        <v>3260741</v>
      </c>
      <c r="L1002" s="2" t="str">
        <f>"MPA-41 7/1/13-6/30/14 ELECTRICIAN STRAIGHT TIME"</f>
        <v>MPA-41 7/1/13-6/30/14 ELECTRICIAN STRAIGHT TIME</v>
      </c>
      <c r="M1002" t="str">
        <f t="shared" si="313"/>
        <v>SVALLANT</v>
      </c>
    </row>
    <row r="1003" spans="1:13" x14ac:dyDescent="0.25">
      <c r="A1003" t="str">
        <f t="shared" si="306"/>
        <v>10</v>
      </c>
      <c r="B1003" t="str">
        <f t="shared" si="307"/>
        <v>066</v>
      </c>
      <c r="C1003" t="str">
        <f t="shared" si="308"/>
        <v>3010106</v>
      </c>
      <c r="D1003" t="str">
        <f t="shared" si="309"/>
        <v>03</v>
      </c>
      <c r="E1003" t="str">
        <f t="shared" si="310"/>
        <v>640100</v>
      </c>
      <c r="F1003" t="str">
        <f>"06/30/14"</f>
        <v>06/30/14</v>
      </c>
      <c r="G1003" t="str">
        <f>"9397"</f>
        <v>9397</v>
      </c>
      <c r="H1003" s="3">
        <v>2613</v>
      </c>
      <c r="I1003" s="3"/>
      <c r="J1003" t="str">
        <f t="shared" si="311"/>
        <v>ROBERT F AUDET INC</v>
      </c>
      <c r="K1003" t="str">
        <f t="shared" si="312"/>
        <v>3260741</v>
      </c>
      <c r="L1003" s="2" t="str">
        <f>"MPA-41 7/1/13-6/30/14 ELECTRICIAN STRAIGHT TIME"</f>
        <v>MPA-41 7/1/13-6/30/14 ELECTRICIAN STRAIGHT TIME</v>
      </c>
      <c r="M1003" t="str">
        <f t="shared" si="313"/>
        <v>SVALLANT</v>
      </c>
    </row>
    <row r="1004" spans="1:13" ht="30" x14ac:dyDescent="0.25">
      <c r="A1004" t="str">
        <f t="shared" si="306"/>
        <v>10</v>
      </c>
      <c r="B1004" t="str">
        <f t="shared" si="307"/>
        <v>066</v>
      </c>
      <c r="C1004" t="str">
        <f t="shared" si="308"/>
        <v>3010106</v>
      </c>
      <c r="D1004" t="str">
        <f t="shared" si="309"/>
        <v>03</v>
      </c>
      <c r="E1004" t="str">
        <f t="shared" si="310"/>
        <v>640100</v>
      </c>
      <c r="F1004" t="str">
        <f>"06/30/14"</f>
        <v>06/30/14</v>
      </c>
      <c r="G1004" t="str">
        <f>"9397"</f>
        <v>9397</v>
      </c>
      <c r="H1004" s="3">
        <v>2287</v>
      </c>
      <c r="I1004" s="3"/>
      <c r="J1004" t="str">
        <f t="shared" si="311"/>
        <v>ROBERT F AUDET INC</v>
      </c>
      <c r="K1004" t="str">
        <f t="shared" si="312"/>
        <v>3260741</v>
      </c>
      <c r="L1004" s="2" t="str">
        <f>"MPA-41 MATERIALS ARE TO BE PROVIDED AT COST PLUS THE FOLLOWING (APPLICABLE FEE FOR OVERHEAD, PICKUP AND DELIVERY.  NO ADDITIONAL CHARGES WILL BE ACCEPTABLE"</f>
        <v>MPA-41 MATERIALS ARE TO BE PROVIDED AT COST PLUS THE FOLLOWING (APPLICABLE FEE FOR OVERHEAD, PICKUP AND DELIVERY.  NO ADDITIONAL CHARGES WILL BE ACCEPTABLE</v>
      </c>
      <c r="M1004" t="str">
        <f>"MFUSCO"</f>
        <v>MFUSCO</v>
      </c>
    </row>
    <row r="1005" spans="1:13" x14ac:dyDescent="0.25">
      <c r="H1005" s="6">
        <f>SUM(H997:H1004)</f>
        <v>7409.15</v>
      </c>
      <c r="I1005" s="6">
        <f>SUM(H997:H1004)</f>
        <v>7409.15</v>
      </c>
      <c r="L1005" s="2"/>
      <c r="M1005" t="str">
        <f>"MFUSCO"</f>
        <v>MFUSCO</v>
      </c>
    </row>
    <row r="1006" spans="1:13" x14ac:dyDescent="0.25">
      <c r="H1006" s="3"/>
      <c r="I1006" s="3"/>
      <c r="L1006" s="2"/>
    </row>
    <row r="1007" spans="1:13" x14ac:dyDescent="0.25">
      <c r="A1007" t="str">
        <f t="shared" ref="A1007:A1023" si="314">"10"</f>
        <v>10</v>
      </c>
      <c r="B1007" t="str">
        <f t="shared" ref="B1007:B1023" si="315">"066"</f>
        <v>066</v>
      </c>
      <c r="C1007" t="str">
        <f t="shared" ref="C1007:C1023" si="316">"3010106"</f>
        <v>3010106</v>
      </c>
      <c r="D1007" t="str">
        <f t="shared" ref="D1007:D1023" si="317">"03"</f>
        <v>03</v>
      </c>
      <c r="E1007" t="str">
        <f t="shared" ref="E1007:E1023" si="318">"634200"</f>
        <v>634200</v>
      </c>
      <c r="F1007" t="str">
        <f t="shared" ref="F1007:F1013" si="319">"01/31/15"</f>
        <v>01/31/15</v>
      </c>
      <c r="G1007" t="str">
        <f t="shared" ref="G1007:G1013" si="320">"6171-3"</f>
        <v>6171-3</v>
      </c>
      <c r="H1007" s="3">
        <v>-16327.99</v>
      </c>
      <c r="I1007" s="3"/>
      <c r="J1007" t="str">
        <f t="shared" ref="J1007:J1023" si="321">"ROBINSON GREEN BERETTA CORP, THE"</f>
        <v>ROBINSON GREEN BERETTA CORP, THE</v>
      </c>
      <c r="K1007" t="str">
        <f t="shared" ref="K1007:K1014" si="322">"3391181"</f>
        <v>3391181</v>
      </c>
      <c r="L1007" s="2" t="str">
        <f>"CONSTRUCTION DOCUMENTS FOR RENOVATIONS AT 180 SOUTH MAIN STREET BUILDING"</f>
        <v>CONSTRUCTION DOCUMENTS FOR RENOVATIONS AT 180 SOUTH MAIN STREET BUILDING</v>
      </c>
    </row>
    <row r="1008" spans="1:13" x14ac:dyDescent="0.25">
      <c r="A1008" t="str">
        <f t="shared" si="314"/>
        <v>10</v>
      </c>
      <c r="B1008" t="str">
        <f t="shared" si="315"/>
        <v>066</v>
      </c>
      <c r="C1008" t="str">
        <f t="shared" si="316"/>
        <v>3010106</v>
      </c>
      <c r="D1008" t="str">
        <f t="shared" si="317"/>
        <v>03</v>
      </c>
      <c r="E1008" t="str">
        <f t="shared" si="318"/>
        <v>634200</v>
      </c>
      <c r="F1008" t="str">
        <f t="shared" si="319"/>
        <v>01/31/15</v>
      </c>
      <c r="G1008" t="str">
        <f t="shared" si="320"/>
        <v>6171-3</v>
      </c>
      <c r="H1008" s="3">
        <v>-3132.62</v>
      </c>
      <c r="I1008" s="3"/>
      <c r="J1008" t="str">
        <f t="shared" si="321"/>
        <v>ROBINSON GREEN BERETTA CORP, THE</v>
      </c>
      <c r="K1008" t="str">
        <f t="shared" si="322"/>
        <v>3391181</v>
      </c>
      <c r="L1008" s="2" t="str">
        <f>"A &amp; E WORK FOR SPACE PLANNING AND RUG REPLACEMENT AT 180 SOUTH MAIN STREET"</f>
        <v>A &amp; E WORK FOR SPACE PLANNING AND RUG REPLACEMENT AT 180 SOUTH MAIN STREET</v>
      </c>
      <c r="M1008" t="str">
        <f t="shared" ref="M1008:M1024" si="323">"SVALLANT"</f>
        <v>SVALLANT</v>
      </c>
    </row>
    <row r="1009" spans="1:13" x14ac:dyDescent="0.25">
      <c r="A1009" t="str">
        <f t="shared" si="314"/>
        <v>10</v>
      </c>
      <c r="B1009" t="str">
        <f t="shared" si="315"/>
        <v>066</v>
      </c>
      <c r="C1009" t="str">
        <f t="shared" si="316"/>
        <v>3010106</v>
      </c>
      <c r="D1009" t="str">
        <f t="shared" si="317"/>
        <v>03</v>
      </c>
      <c r="E1009" t="str">
        <f t="shared" si="318"/>
        <v>634200</v>
      </c>
      <c r="F1009" t="str">
        <f t="shared" si="319"/>
        <v>01/31/15</v>
      </c>
      <c r="G1009" t="str">
        <f t="shared" si="320"/>
        <v>6171-3</v>
      </c>
      <c r="H1009" s="4">
        <v>3132.62</v>
      </c>
      <c r="I1009" s="3"/>
      <c r="J1009" t="str">
        <f t="shared" si="321"/>
        <v>ROBINSON GREEN BERETTA CORP, THE</v>
      </c>
      <c r="K1009" t="str">
        <f t="shared" si="322"/>
        <v>3391181</v>
      </c>
      <c r="L1009" s="2" t="str">
        <f>"A &amp; E WORK FOR SPACE PLANNING AND RUG REPLACEMENT AT 180 SOUTH MAIN STREET"</f>
        <v>A &amp; E WORK FOR SPACE PLANNING AND RUG REPLACEMENT AT 180 SOUTH MAIN STREET</v>
      </c>
      <c r="M1009" t="str">
        <f t="shared" si="323"/>
        <v>SVALLANT</v>
      </c>
    </row>
    <row r="1010" spans="1:13" x14ac:dyDescent="0.25">
      <c r="A1010" t="str">
        <f t="shared" si="314"/>
        <v>10</v>
      </c>
      <c r="B1010" t="str">
        <f t="shared" si="315"/>
        <v>066</v>
      </c>
      <c r="C1010" t="str">
        <f t="shared" si="316"/>
        <v>3010106</v>
      </c>
      <c r="D1010" t="str">
        <f t="shared" si="317"/>
        <v>03</v>
      </c>
      <c r="E1010" t="str">
        <f t="shared" si="318"/>
        <v>634200</v>
      </c>
      <c r="F1010" t="str">
        <f t="shared" si="319"/>
        <v>01/31/15</v>
      </c>
      <c r="G1010" t="str">
        <f t="shared" si="320"/>
        <v>6171-3</v>
      </c>
      <c r="H1010" s="4">
        <v>-19887.990000000002</v>
      </c>
      <c r="I1010" s="3"/>
      <c r="J1010" t="str">
        <f t="shared" si="321"/>
        <v>ROBINSON GREEN BERETTA CORP, THE</v>
      </c>
      <c r="K1010" t="str">
        <f t="shared" si="322"/>
        <v>3391181</v>
      </c>
      <c r="L1010" s="2" t="str">
        <f t="shared" ref="L1010:L1015" si="324">"CONSTRUCTION DOCUMENTS FOR RENOVATIONS AT 180 SOUTH MAIN STREET BUILDING"</f>
        <v>CONSTRUCTION DOCUMENTS FOR RENOVATIONS AT 180 SOUTH MAIN STREET BUILDING</v>
      </c>
      <c r="M1010" t="str">
        <f t="shared" si="323"/>
        <v>SVALLANT</v>
      </c>
    </row>
    <row r="1011" spans="1:13" x14ac:dyDescent="0.25">
      <c r="A1011" t="str">
        <f t="shared" si="314"/>
        <v>10</v>
      </c>
      <c r="B1011" t="str">
        <f t="shared" si="315"/>
        <v>066</v>
      </c>
      <c r="C1011" t="str">
        <f t="shared" si="316"/>
        <v>3010106</v>
      </c>
      <c r="D1011" t="str">
        <f t="shared" si="317"/>
        <v>03</v>
      </c>
      <c r="E1011" t="str">
        <f t="shared" si="318"/>
        <v>634200</v>
      </c>
      <c r="F1011" t="str">
        <f t="shared" si="319"/>
        <v>01/31/15</v>
      </c>
      <c r="G1011" t="str">
        <f t="shared" si="320"/>
        <v>6171-3</v>
      </c>
      <c r="H1011" s="4">
        <v>16327.99</v>
      </c>
      <c r="I1011" s="3"/>
      <c r="J1011" t="str">
        <f t="shared" si="321"/>
        <v>ROBINSON GREEN BERETTA CORP, THE</v>
      </c>
      <c r="K1011" t="str">
        <f t="shared" si="322"/>
        <v>3391181</v>
      </c>
      <c r="L1011" s="2" t="str">
        <f t="shared" si="324"/>
        <v>CONSTRUCTION DOCUMENTS FOR RENOVATIONS AT 180 SOUTH MAIN STREET BUILDING</v>
      </c>
      <c r="M1011" t="str">
        <f t="shared" si="323"/>
        <v>SVALLANT</v>
      </c>
    </row>
    <row r="1012" spans="1:13" x14ac:dyDescent="0.25">
      <c r="A1012" t="str">
        <f t="shared" si="314"/>
        <v>10</v>
      </c>
      <c r="B1012" t="str">
        <f t="shared" si="315"/>
        <v>066</v>
      </c>
      <c r="C1012" t="str">
        <f t="shared" si="316"/>
        <v>3010106</v>
      </c>
      <c r="D1012" t="str">
        <f t="shared" si="317"/>
        <v>03</v>
      </c>
      <c r="E1012" t="str">
        <f t="shared" si="318"/>
        <v>634200</v>
      </c>
      <c r="F1012" t="str">
        <f t="shared" si="319"/>
        <v>01/31/15</v>
      </c>
      <c r="G1012" t="str">
        <f t="shared" si="320"/>
        <v>6171-3</v>
      </c>
      <c r="H1012" s="4">
        <v>19887.990000000002</v>
      </c>
      <c r="I1012" s="3"/>
      <c r="J1012" t="str">
        <f t="shared" si="321"/>
        <v>ROBINSON GREEN BERETTA CORP, THE</v>
      </c>
      <c r="K1012" t="str">
        <f t="shared" si="322"/>
        <v>3391181</v>
      </c>
      <c r="L1012" s="2" t="str">
        <f t="shared" si="324"/>
        <v>CONSTRUCTION DOCUMENTS FOR RENOVATIONS AT 180 SOUTH MAIN STREET BUILDING</v>
      </c>
      <c r="M1012" t="str">
        <f t="shared" si="323"/>
        <v>SVALLANT</v>
      </c>
    </row>
    <row r="1013" spans="1:13" x14ac:dyDescent="0.25">
      <c r="A1013" t="str">
        <f t="shared" si="314"/>
        <v>10</v>
      </c>
      <c r="B1013" t="str">
        <f t="shared" si="315"/>
        <v>066</v>
      </c>
      <c r="C1013" t="str">
        <f t="shared" si="316"/>
        <v>3010106</v>
      </c>
      <c r="D1013" t="str">
        <f t="shared" si="317"/>
        <v>03</v>
      </c>
      <c r="E1013" t="str">
        <f t="shared" si="318"/>
        <v>634200</v>
      </c>
      <c r="F1013" t="str">
        <f t="shared" si="319"/>
        <v>01/31/15</v>
      </c>
      <c r="G1013" t="str">
        <f t="shared" si="320"/>
        <v>6171-3</v>
      </c>
      <c r="H1013" s="4">
        <v>16327.99</v>
      </c>
      <c r="I1013" s="3"/>
      <c r="J1013" t="str">
        <f t="shared" si="321"/>
        <v>ROBINSON GREEN BERETTA CORP, THE</v>
      </c>
      <c r="K1013" t="str">
        <f t="shared" si="322"/>
        <v>3391181</v>
      </c>
      <c r="L1013" s="2" t="str">
        <f t="shared" si="324"/>
        <v>CONSTRUCTION DOCUMENTS FOR RENOVATIONS AT 180 SOUTH MAIN STREET BUILDING</v>
      </c>
      <c r="M1013" t="str">
        <f t="shared" si="323"/>
        <v>SVALLANT</v>
      </c>
    </row>
    <row r="1014" spans="1:13" x14ac:dyDescent="0.25">
      <c r="A1014" t="str">
        <f t="shared" si="314"/>
        <v>10</v>
      </c>
      <c r="B1014" t="str">
        <f t="shared" si="315"/>
        <v>066</v>
      </c>
      <c r="C1014" t="str">
        <f t="shared" si="316"/>
        <v>3010106</v>
      </c>
      <c r="D1014" t="str">
        <f t="shared" si="317"/>
        <v>03</v>
      </c>
      <c r="E1014" t="str">
        <f t="shared" si="318"/>
        <v>634200</v>
      </c>
      <c r="F1014" t="str">
        <f>"03/31/15"</f>
        <v>03/31/15</v>
      </c>
      <c r="G1014" t="str">
        <f>"6171-4"</f>
        <v>6171-4</v>
      </c>
      <c r="H1014" s="4">
        <v>2884.27</v>
      </c>
      <c r="I1014" s="3"/>
      <c r="J1014" t="str">
        <f t="shared" si="321"/>
        <v>ROBINSON GREEN BERETTA CORP, THE</v>
      </c>
      <c r="K1014" t="str">
        <f t="shared" si="322"/>
        <v>3391181</v>
      </c>
      <c r="L1014" s="2" t="str">
        <f t="shared" si="324"/>
        <v>CONSTRUCTION DOCUMENTS FOR RENOVATIONS AT 180 SOUTH MAIN STREET BUILDING</v>
      </c>
      <c r="M1014" t="str">
        <f t="shared" si="323"/>
        <v>SVALLANT</v>
      </c>
    </row>
    <row r="1015" spans="1:13" x14ac:dyDescent="0.25">
      <c r="A1015" t="str">
        <f t="shared" si="314"/>
        <v>10</v>
      </c>
      <c r="B1015" t="str">
        <f t="shared" si="315"/>
        <v>066</v>
      </c>
      <c r="C1015" t="str">
        <f t="shared" si="316"/>
        <v>3010106</v>
      </c>
      <c r="D1015" t="str">
        <f t="shared" si="317"/>
        <v>03</v>
      </c>
      <c r="E1015" t="str">
        <f t="shared" si="318"/>
        <v>634200</v>
      </c>
      <c r="F1015" t="str">
        <f>"05/31/16"</f>
        <v>05/31/16</v>
      </c>
      <c r="G1015" t="str">
        <f>"6171-7"</f>
        <v>6171-7</v>
      </c>
      <c r="H1015" s="4">
        <v>750</v>
      </c>
      <c r="I1015" s="3"/>
      <c r="J1015" t="str">
        <f t="shared" si="321"/>
        <v>ROBINSON GREEN BERETTA CORP, THE</v>
      </c>
      <c r="K1015" t="str">
        <f>"3438694"</f>
        <v>3438694</v>
      </c>
      <c r="L1015" s="2" t="str">
        <f t="shared" si="324"/>
        <v>CONSTRUCTION DOCUMENTS FOR RENOVATIONS AT 180 SOUTH MAIN STREET BUILDING</v>
      </c>
      <c r="M1015" t="str">
        <f t="shared" si="323"/>
        <v>SVALLANT</v>
      </c>
    </row>
    <row r="1016" spans="1:13" x14ac:dyDescent="0.25">
      <c r="A1016" t="str">
        <f t="shared" si="314"/>
        <v>10</v>
      </c>
      <c r="B1016" t="str">
        <f t="shared" si="315"/>
        <v>066</v>
      </c>
      <c r="C1016" t="str">
        <f t="shared" si="316"/>
        <v>3010106</v>
      </c>
      <c r="D1016" t="str">
        <f t="shared" si="317"/>
        <v>03</v>
      </c>
      <c r="E1016" t="str">
        <f t="shared" si="318"/>
        <v>634200</v>
      </c>
      <c r="F1016" t="str">
        <f>"05/31/16"</f>
        <v>05/31/16</v>
      </c>
      <c r="G1016" t="str">
        <f>"6171-7"</f>
        <v>6171-7</v>
      </c>
      <c r="H1016" s="4">
        <v>18.72</v>
      </c>
      <c r="I1016" s="3"/>
      <c r="J1016" t="str">
        <f t="shared" si="321"/>
        <v>ROBINSON GREEN BERETTA CORP, THE</v>
      </c>
      <c r="K1016" t="str">
        <f>"3438694"</f>
        <v>3438694</v>
      </c>
      <c r="L1016" s="2" t="str">
        <f>"A &amp; E WORK FOR SPACE PLANNING AND RUG REPLACEMENT AT 150 SOUTH MAIN STREET"</f>
        <v>A &amp; E WORK FOR SPACE PLANNING AND RUG REPLACEMENT AT 150 SOUTH MAIN STREET</v>
      </c>
      <c r="M1016" t="str">
        <f t="shared" si="323"/>
        <v>SVALLANT</v>
      </c>
    </row>
    <row r="1017" spans="1:13" x14ac:dyDescent="0.25">
      <c r="A1017" t="str">
        <f t="shared" si="314"/>
        <v>10</v>
      </c>
      <c r="B1017" t="str">
        <f t="shared" si="315"/>
        <v>066</v>
      </c>
      <c r="C1017" t="str">
        <f t="shared" si="316"/>
        <v>3010106</v>
      </c>
      <c r="D1017" t="str">
        <f t="shared" si="317"/>
        <v>03</v>
      </c>
      <c r="E1017" t="str">
        <f t="shared" si="318"/>
        <v>634200</v>
      </c>
      <c r="F1017" t="str">
        <f>"05/31/16"</f>
        <v>05/31/16</v>
      </c>
      <c r="G1017" t="str">
        <f>"6171-7"</f>
        <v>6171-7</v>
      </c>
      <c r="H1017" s="4">
        <v>2757.1</v>
      </c>
      <c r="I1017" s="3"/>
      <c r="J1017" t="str">
        <f t="shared" si="321"/>
        <v>ROBINSON GREEN BERETTA CORP, THE</v>
      </c>
      <c r="K1017" t="str">
        <f>"3438694"</f>
        <v>3438694</v>
      </c>
      <c r="L1017" s="2" t="str">
        <f>"A &amp; E WORK FOR SPACE PLANNING AND RUG REPLACEMENT AT 180 SOUTH MAIN STREET"</f>
        <v>A &amp; E WORK FOR SPACE PLANNING AND RUG REPLACEMENT AT 180 SOUTH MAIN STREET</v>
      </c>
      <c r="M1017" t="str">
        <f t="shared" si="323"/>
        <v>SVALLANT</v>
      </c>
    </row>
    <row r="1018" spans="1:13" x14ac:dyDescent="0.25">
      <c r="A1018" t="str">
        <f t="shared" si="314"/>
        <v>10</v>
      </c>
      <c r="B1018" t="str">
        <f t="shared" si="315"/>
        <v>066</v>
      </c>
      <c r="C1018" t="str">
        <f t="shared" si="316"/>
        <v>3010106</v>
      </c>
      <c r="D1018" t="str">
        <f t="shared" si="317"/>
        <v>03</v>
      </c>
      <c r="E1018" t="str">
        <f t="shared" si="318"/>
        <v>634200</v>
      </c>
      <c r="F1018" t="str">
        <f>"05/31/16"</f>
        <v>05/31/16</v>
      </c>
      <c r="G1018" t="str">
        <f>"6171-8"</f>
        <v>6171-8</v>
      </c>
      <c r="H1018" s="4">
        <v>1780</v>
      </c>
      <c r="I1018" s="3"/>
      <c r="J1018" t="str">
        <f t="shared" si="321"/>
        <v>ROBINSON GREEN BERETTA CORP, THE</v>
      </c>
      <c r="K1018" t="str">
        <f>"3438694"</f>
        <v>3438694</v>
      </c>
      <c r="L1018" s="2" t="str">
        <f>"A &amp; E WORK FOR SPACE PLANNING AND RUG REPLACEMENT AT 150 SOUTH MAIN STREET"</f>
        <v>A &amp; E WORK FOR SPACE PLANNING AND RUG REPLACEMENT AT 150 SOUTH MAIN STREET</v>
      </c>
      <c r="M1018" t="str">
        <f t="shared" si="323"/>
        <v>SVALLANT</v>
      </c>
    </row>
    <row r="1019" spans="1:13" x14ac:dyDescent="0.25">
      <c r="A1019" t="str">
        <f t="shared" si="314"/>
        <v>10</v>
      </c>
      <c r="B1019" t="str">
        <f t="shared" si="315"/>
        <v>066</v>
      </c>
      <c r="C1019" t="str">
        <f t="shared" si="316"/>
        <v>3010106</v>
      </c>
      <c r="D1019" t="str">
        <f t="shared" si="317"/>
        <v>03</v>
      </c>
      <c r="E1019" t="str">
        <f t="shared" si="318"/>
        <v>634200</v>
      </c>
      <c r="F1019" t="str">
        <f>"08/31/14"</f>
        <v>08/31/14</v>
      </c>
      <c r="G1019" t="str">
        <f>"6171-1"</f>
        <v>6171-1</v>
      </c>
      <c r="H1019" s="4">
        <v>2773.62</v>
      </c>
      <c r="I1019" s="3"/>
      <c r="J1019" t="str">
        <f t="shared" si="321"/>
        <v>ROBINSON GREEN BERETTA CORP, THE</v>
      </c>
      <c r="K1019" t="str">
        <f>"3391181"</f>
        <v>3391181</v>
      </c>
      <c r="L1019" s="2" t="str">
        <f>"A &amp; E WORK FOR SPACE PLANNING AND RUG REPLACEMENT AT 180 SOUTH MAIN STREET"</f>
        <v>A &amp; E WORK FOR SPACE PLANNING AND RUG REPLACEMENT AT 180 SOUTH MAIN STREET</v>
      </c>
      <c r="M1019" t="str">
        <f t="shared" si="323"/>
        <v>SVALLANT</v>
      </c>
    </row>
    <row r="1020" spans="1:13" x14ac:dyDescent="0.25">
      <c r="A1020" t="str">
        <f t="shared" si="314"/>
        <v>10</v>
      </c>
      <c r="B1020" t="str">
        <f t="shared" si="315"/>
        <v>066</v>
      </c>
      <c r="C1020" t="str">
        <f t="shared" si="316"/>
        <v>3010106</v>
      </c>
      <c r="D1020" t="str">
        <f t="shared" si="317"/>
        <v>03</v>
      </c>
      <c r="E1020" t="str">
        <f t="shared" si="318"/>
        <v>634200</v>
      </c>
      <c r="F1020" t="str">
        <f>"09/30/14"</f>
        <v>09/30/14</v>
      </c>
      <c r="G1020" t="str">
        <f>"6171-2"</f>
        <v>6171-2</v>
      </c>
      <c r="H1020" s="4">
        <v>2693.76</v>
      </c>
      <c r="I1020" s="3"/>
      <c r="J1020" t="str">
        <f t="shared" si="321"/>
        <v>ROBINSON GREEN BERETTA CORP, THE</v>
      </c>
      <c r="K1020" t="str">
        <f>"3391181"</f>
        <v>3391181</v>
      </c>
      <c r="L1020" s="2" t="str">
        <f>"A &amp; E WORK FOR SPACE PLANNING AND RUG REPLACEMENT AT 180 SOUTH MAIN STREET"</f>
        <v>A &amp; E WORK FOR SPACE PLANNING AND RUG REPLACEMENT AT 180 SOUTH MAIN STREET</v>
      </c>
      <c r="M1020" t="str">
        <f t="shared" si="323"/>
        <v>SVALLANT</v>
      </c>
    </row>
    <row r="1021" spans="1:13" x14ac:dyDescent="0.25">
      <c r="A1021" t="str">
        <f t="shared" si="314"/>
        <v>10</v>
      </c>
      <c r="B1021" t="str">
        <f t="shared" si="315"/>
        <v>066</v>
      </c>
      <c r="C1021" t="str">
        <f t="shared" si="316"/>
        <v>3010106</v>
      </c>
      <c r="D1021" t="str">
        <f t="shared" si="317"/>
        <v>03</v>
      </c>
      <c r="E1021" t="str">
        <f t="shared" si="318"/>
        <v>634200</v>
      </c>
      <c r="F1021" t="str">
        <f>"09/30/15"</f>
        <v>09/30/15</v>
      </c>
      <c r="G1021" t="str">
        <f>"6171-5"</f>
        <v>6171-5</v>
      </c>
      <c r="H1021" s="4">
        <v>929.6</v>
      </c>
      <c r="I1021" s="3"/>
      <c r="J1021" t="str">
        <f t="shared" si="321"/>
        <v>ROBINSON GREEN BERETTA CORP, THE</v>
      </c>
      <c r="K1021" t="str">
        <f>"3438694"</f>
        <v>3438694</v>
      </c>
      <c r="L1021" s="2" t="str">
        <f>"A &amp; E WORK FOR SPACE PLANNING AND RUG REPLACEMENT AT 150 SOUTH MAIN STREET"</f>
        <v>A &amp; E WORK FOR SPACE PLANNING AND RUG REPLACEMENT AT 150 SOUTH MAIN STREET</v>
      </c>
      <c r="M1021" t="str">
        <f t="shared" si="323"/>
        <v>SVALLANT</v>
      </c>
    </row>
    <row r="1022" spans="1:13" x14ac:dyDescent="0.25">
      <c r="A1022" t="str">
        <f t="shared" si="314"/>
        <v>10</v>
      </c>
      <c r="B1022" t="str">
        <f t="shared" si="315"/>
        <v>066</v>
      </c>
      <c r="C1022" t="str">
        <f t="shared" si="316"/>
        <v>3010106</v>
      </c>
      <c r="D1022" t="str">
        <f t="shared" si="317"/>
        <v>03</v>
      </c>
      <c r="E1022" t="str">
        <f t="shared" si="318"/>
        <v>634200</v>
      </c>
      <c r="F1022" t="str">
        <f>"12/31/15"</f>
        <v>12/31/15</v>
      </c>
      <c r="G1022" t="str">
        <f>"6171-6"</f>
        <v>6171-6</v>
      </c>
      <c r="H1022" s="4">
        <v>2087.7399999999998</v>
      </c>
      <c r="I1022" s="3"/>
      <c r="J1022" t="str">
        <f t="shared" si="321"/>
        <v>ROBINSON GREEN BERETTA CORP, THE</v>
      </c>
      <c r="K1022" t="str">
        <f>"3438694"</f>
        <v>3438694</v>
      </c>
      <c r="L1022" s="2" t="str">
        <f>"CONSTRUCTION DOCUMENTS FOR RENOVATIONS AT 180 SOUTH MAIN STREET BUILDING"</f>
        <v>CONSTRUCTION DOCUMENTS FOR RENOVATIONS AT 180 SOUTH MAIN STREET BUILDING</v>
      </c>
      <c r="M1022" t="str">
        <f t="shared" si="323"/>
        <v>SVALLANT</v>
      </c>
    </row>
    <row r="1023" spans="1:13" x14ac:dyDescent="0.25">
      <c r="A1023" t="str">
        <f t="shared" si="314"/>
        <v>10</v>
      </c>
      <c r="B1023" t="str">
        <f t="shared" si="315"/>
        <v>066</v>
      </c>
      <c r="C1023" t="str">
        <f t="shared" si="316"/>
        <v>3010106</v>
      </c>
      <c r="D1023" t="str">
        <f t="shared" si="317"/>
        <v>03</v>
      </c>
      <c r="E1023" t="str">
        <f t="shared" si="318"/>
        <v>634200</v>
      </c>
      <c r="F1023" t="str">
        <f>"12/31/15"</f>
        <v>12/31/15</v>
      </c>
      <c r="G1023" t="str">
        <f>"6171-6"</f>
        <v>6171-6</v>
      </c>
      <c r="H1023" s="4">
        <v>1125.52</v>
      </c>
      <c r="I1023" s="3"/>
      <c r="J1023" t="str">
        <f t="shared" si="321"/>
        <v>ROBINSON GREEN BERETTA CORP, THE</v>
      </c>
      <c r="K1023" t="str">
        <f>"3438694"</f>
        <v>3438694</v>
      </c>
      <c r="L1023" s="2" t="str">
        <f>"A &amp; E WORK FOR SPACE PLANNING AND RUG REPLACEMENT AT 180 SOUTH MAIN STREET"</f>
        <v>A &amp; E WORK FOR SPACE PLANNING AND RUG REPLACEMENT AT 180 SOUTH MAIN STREET</v>
      </c>
      <c r="M1023" t="str">
        <f t="shared" si="323"/>
        <v>SVALLANT</v>
      </c>
    </row>
    <row r="1024" spans="1:13" x14ac:dyDescent="0.25">
      <c r="A1024" t="str">
        <f>"10"</f>
        <v>10</v>
      </c>
      <c r="B1024" t="str">
        <f>"066"</f>
        <v>066</v>
      </c>
      <c r="C1024" t="str">
        <f>"3010106"</f>
        <v>3010106</v>
      </c>
      <c r="D1024" t="str">
        <f>"03"</f>
        <v>03</v>
      </c>
      <c r="E1024" t="str">
        <f>"660050"</f>
        <v>660050</v>
      </c>
      <c r="F1024" t="str">
        <f>"06/08/15"</f>
        <v>06/08/15</v>
      </c>
      <c r="G1024" t="str">
        <f>"J15066MEF0634"</f>
        <v>J15066MEF0634</v>
      </c>
      <c r="H1024" s="4">
        <v>7120</v>
      </c>
      <c r="I1024" s="3"/>
      <c r="J1024" t="str">
        <f>""</f>
        <v/>
      </c>
      <c r="K1024" t="str">
        <f>""</f>
        <v/>
      </c>
      <c r="L1024" s="2" t="str">
        <f>"ADJUSTMENT OF GOOGLE CHARGES PO 3391181-INTERIOR RENOVATIONS AG001"</f>
        <v>ADJUSTMENT OF GOOGLE CHARGES PO 3391181-INTERIOR RENOVATIONS AG001</v>
      </c>
      <c r="M1024" t="str">
        <f t="shared" si="323"/>
        <v>SVALLANT</v>
      </c>
    </row>
    <row r="1025" spans="1:13" x14ac:dyDescent="0.25">
      <c r="H1025" s="6">
        <f>SUM(H1007:H1024)</f>
        <v>41248.319999999985</v>
      </c>
      <c r="I1025" s="6">
        <f>SUM(H1007:H1024)</f>
        <v>41248.319999999985</v>
      </c>
      <c r="L1025" s="2"/>
    </row>
    <row r="1026" spans="1:13" x14ac:dyDescent="0.25">
      <c r="H1026" s="3"/>
      <c r="I1026" s="3"/>
      <c r="L1026" s="2"/>
    </row>
    <row r="1027" spans="1:13" x14ac:dyDescent="0.25">
      <c r="A1027" t="str">
        <f>"10"</f>
        <v>10</v>
      </c>
      <c r="B1027" t="str">
        <f>"066"</f>
        <v>066</v>
      </c>
      <c r="C1027" t="str">
        <f>"3010106"</f>
        <v>3010106</v>
      </c>
      <c r="D1027" t="str">
        <f>"03"</f>
        <v>03</v>
      </c>
      <c r="E1027" t="str">
        <f>"643120"</f>
        <v>643120</v>
      </c>
      <c r="F1027" t="str">
        <f>"04/30/15"</f>
        <v>04/30/15</v>
      </c>
      <c r="G1027" t="str">
        <f>"97502"</f>
        <v>97502</v>
      </c>
      <c r="H1027" s="6">
        <v>7006.78</v>
      </c>
      <c r="I1027" s="6">
        <f>SUM(H1027)</f>
        <v>7006.78</v>
      </c>
      <c r="J1027" t="str">
        <f>"SHANIX INC"</f>
        <v>SHANIX INC</v>
      </c>
      <c r="K1027" t="str">
        <f>"3406348"</f>
        <v>3406348</v>
      </c>
      <c r="L1027" s="2" t="str">
        <f>"Mobile AV video conferencing cart"</f>
        <v>Mobile AV video conferencing cart</v>
      </c>
    </row>
    <row r="1028" spans="1:13" x14ac:dyDescent="0.25">
      <c r="H1028" s="3"/>
      <c r="I1028" s="3"/>
      <c r="L1028" s="2"/>
      <c r="M1028" t="str">
        <f>"SVALLANT"</f>
        <v>SVALLANT</v>
      </c>
    </row>
    <row r="1029" spans="1:13" x14ac:dyDescent="0.25">
      <c r="A1029" t="str">
        <f t="shared" ref="A1029:A1039" si="325">"10"</f>
        <v>10</v>
      </c>
      <c r="B1029" t="str">
        <f t="shared" ref="B1029:B1039" si="326">"066"</f>
        <v>066</v>
      </c>
      <c r="C1029" t="str">
        <f t="shared" ref="C1029:C1039" si="327">"3010106"</f>
        <v>3010106</v>
      </c>
      <c r="D1029" t="str">
        <f t="shared" ref="D1029:D1039" si="328">"03"</f>
        <v>03</v>
      </c>
      <c r="E1029" t="str">
        <f t="shared" ref="E1029:E1037" si="329">"640100"</f>
        <v>640100</v>
      </c>
      <c r="F1029" t="str">
        <f>"02/29/16"</f>
        <v>02/29/16</v>
      </c>
      <c r="G1029" t="str">
        <f>"937687"</f>
        <v>937687</v>
      </c>
      <c r="H1029" s="3">
        <v>13260</v>
      </c>
      <c r="I1029" s="3"/>
      <c r="J1029" t="str">
        <f t="shared" ref="J1029:J1039" si="330">"SIGNET ELECTRONIC SYSTEMS INC"</f>
        <v>SIGNET ELECTRONIC SYSTEMS INC</v>
      </c>
      <c r="K1029" t="str">
        <f>"3444488"</f>
        <v>3444488</v>
      </c>
      <c r="L1029" s="2" t="str">
        <f>"camera and 2 card readers @ 180 South Main Street"</f>
        <v>camera and 2 card readers @ 180 South Main Street</v>
      </c>
    </row>
    <row r="1030" spans="1:13" x14ac:dyDescent="0.25">
      <c r="A1030" t="str">
        <f t="shared" si="325"/>
        <v>10</v>
      </c>
      <c r="B1030" t="str">
        <f t="shared" si="326"/>
        <v>066</v>
      </c>
      <c r="C1030" t="str">
        <f t="shared" si="327"/>
        <v>3010106</v>
      </c>
      <c r="D1030" t="str">
        <f t="shared" si="328"/>
        <v>03</v>
      </c>
      <c r="E1030" t="str">
        <f t="shared" si="329"/>
        <v>640100</v>
      </c>
      <c r="F1030" t="str">
        <f>"06/30/15"</f>
        <v>06/30/15</v>
      </c>
      <c r="G1030" t="str">
        <f>"936679"</f>
        <v>936679</v>
      </c>
      <c r="H1030" s="3">
        <v>4725</v>
      </c>
      <c r="I1030" s="3"/>
      <c r="J1030" t="str">
        <f t="shared" si="330"/>
        <v>SIGNET ELECTRONIC SYSTEMS INC</v>
      </c>
      <c r="K1030" t="str">
        <f>"3413813"</f>
        <v>3413813</v>
      </c>
      <c r="L1030" s="2" t="str">
        <f>"card access for interior door @ AG Licht suite"</f>
        <v>card access for interior door @ AG Licht suite</v>
      </c>
      <c r="M1030" t="str">
        <f t="shared" ref="M1030:M1040" si="331">"SVALLANT"</f>
        <v>SVALLANT</v>
      </c>
    </row>
    <row r="1031" spans="1:13" x14ac:dyDescent="0.25">
      <c r="A1031" t="str">
        <f t="shared" si="325"/>
        <v>10</v>
      </c>
      <c r="B1031" t="str">
        <f t="shared" si="326"/>
        <v>066</v>
      </c>
      <c r="C1031" t="str">
        <f t="shared" si="327"/>
        <v>3010106</v>
      </c>
      <c r="D1031" t="str">
        <f t="shared" si="328"/>
        <v>03</v>
      </c>
      <c r="E1031" t="str">
        <f t="shared" si="329"/>
        <v>640100</v>
      </c>
      <c r="F1031" t="str">
        <f>"06/30/15"</f>
        <v>06/30/15</v>
      </c>
      <c r="G1031" t="str">
        <f>"936834"</f>
        <v>936834</v>
      </c>
      <c r="H1031" s="3">
        <v>1610</v>
      </c>
      <c r="I1031" s="3"/>
      <c r="J1031" t="str">
        <f t="shared" si="330"/>
        <v>SIGNET ELECTRONIC SYSTEMS INC</v>
      </c>
      <c r="K1031" t="str">
        <f>"3419378"</f>
        <v>3419378</v>
      </c>
      <c r="L1031" s="2" t="str">
        <f>"extra door release button and additional intercom"</f>
        <v>extra door release button and additional intercom</v>
      </c>
      <c r="M1031" t="str">
        <f t="shared" si="331"/>
        <v>SVALLANT</v>
      </c>
    </row>
    <row r="1032" spans="1:13" x14ac:dyDescent="0.25">
      <c r="A1032" t="str">
        <f t="shared" si="325"/>
        <v>10</v>
      </c>
      <c r="B1032" t="str">
        <f t="shared" si="326"/>
        <v>066</v>
      </c>
      <c r="C1032" t="str">
        <f t="shared" si="327"/>
        <v>3010106</v>
      </c>
      <c r="D1032" t="str">
        <f t="shared" si="328"/>
        <v>03</v>
      </c>
      <c r="E1032" t="str">
        <f t="shared" si="329"/>
        <v>640100</v>
      </c>
      <c r="F1032" t="str">
        <f>"09/30/16"</f>
        <v>09/30/16</v>
      </c>
      <c r="G1032" t="str">
        <f>"112043"</f>
        <v>112043</v>
      </c>
      <c r="H1032" s="3">
        <v>396</v>
      </c>
      <c r="I1032" s="3"/>
      <c r="J1032" t="str">
        <f t="shared" si="330"/>
        <v>SIGNET ELECTRONIC SYSTEMS INC</v>
      </c>
      <c r="K1032" t="str">
        <f>"3482126"</f>
        <v>3482126</v>
      </c>
      <c r="L1032" s="2" t="str">
        <f>"move camera equipment to different rack"</f>
        <v>move camera equipment to different rack</v>
      </c>
      <c r="M1032" t="str">
        <f t="shared" si="331"/>
        <v>SVALLANT</v>
      </c>
    </row>
    <row r="1033" spans="1:13" x14ac:dyDescent="0.25">
      <c r="A1033" t="str">
        <f t="shared" si="325"/>
        <v>10</v>
      </c>
      <c r="B1033" t="str">
        <f t="shared" si="326"/>
        <v>066</v>
      </c>
      <c r="C1033" t="str">
        <f t="shared" si="327"/>
        <v>3010106</v>
      </c>
      <c r="D1033" t="str">
        <f t="shared" si="328"/>
        <v>03</v>
      </c>
      <c r="E1033" t="str">
        <f t="shared" si="329"/>
        <v>640100</v>
      </c>
      <c r="F1033" t="str">
        <f>"10/31/14"</f>
        <v>10/31/14</v>
      </c>
      <c r="G1033" t="str">
        <f>"935930"</f>
        <v>935930</v>
      </c>
      <c r="H1033" s="4">
        <v>24750</v>
      </c>
      <c r="I1033" s="3"/>
      <c r="J1033" t="str">
        <f t="shared" si="330"/>
        <v>SIGNET ELECTRONIC SYSTEMS INC</v>
      </c>
      <c r="K1033" t="str">
        <f>"3384332"</f>
        <v>3384332</v>
      </c>
      <c r="L1033" s="2" t="str">
        <f>"camera's and card access for 180"</f>
        <v>camera's and card access for 180</v>
      </c>
      <c r="M1033" t="str">
        <f t="shared" si="331"/>
        <v>SVALLANT</v>
      </c>
    </row>
    <row r="1034" spans="1:13" x14ac:dyDescent="0.25">
      <c r="A1034" t="str">
        <f t="shared" si="325"/>
        <v>10</v>
      </c>
      <c r="B1034" t="str">
        <f t="shared" si="326"/>
        <v>066</v>
      </c>
      <c r="C1034" t="str">
        <f t="shared" si="327"/>
        <v>3010106</v>
      </c>
      <c r="D1034" t="str">
        <f t="shared" si="328"/>
        <v>03</v>
      </c>
      <c r="E1034" t="str">
        <f t="shared" si="329"/>
        <v>640100</v>
      </c>
      <c r="F1034" t="str">
        <f>"11/30/16"</f>
        <v>11/30/16</v>
      </c>
      <c r="G1034" t="str">
        <f>"112879"</f>
        <v>112879</v>
      </c>
      <c r="H1034" s="4">
        <v>-371.25</v>
      </c>
      <c r="I1034" s="3"/>
      <c r="J1034" t="str">
        <f t="shared" si="330"/>
        <v>SIGNET ELECTRONIC SYSTEMS INC</v>
      </c>
      <c r="K1034" t="str">
        <f>"3489917"</f>
        <v>3489917</v>
      </c>
      <c r="L1034" s="2" t="str">
        <f>"service on security cameras"</f>
        <v>service on security cameras</v>
      </c>
      <c r="M1034" t="str">
        <f t="shared" si="331"/>
        <v>SVALLANT</v>
      </c>
    </row>
    <row r="1035" spans="1:13" x14ac:dyDescent="0.25">
      <c r="A1035" t="str">
        <f t="shared" si="325"/>
        <v>10</v>
      </c>
      <c r="B1035" t="str">
        <f t="shared" si="326"/>
        <v>066</v>
      </c>
      <c r="C1035" t="str">
        <f t="shared" si="327"/>
        <v>3010106</v>
      </c>
      <c r="D1035" t="str">
        <f t="shared" si="328"/>
        <v>03</v>
      </c>
      <c r="E1035" t="str">
        <f t="shared" si="329"/>
        <v>640100</v>
      </c>
      <c r="F1035" t="str">
        <f>"11/30/16"</f>
        <v>11/30/16</v>
      </c>
      <c r="G1035" t="str">
        <f>"112879"</f>
        <v>112879</v>
      </c>
      <c r="H1035" s="4">
        <v>371.25</v>
      </c>
      <c r="I1035" s="3"/>
      <c r="J1035" t="str">
        <f t="shared" si="330"/>
        <v>SIGNET ELECTRONIC SYSTEMS INC</v>
      </c>
      <c r="K1035" t="str">
        <f>"3489917"</f>
        <v>3489917</v>
      </c>
      <c r="L1035" s="2" t="str">
        <f>"service on security cameras"</f>
        <v>service on security cameras</v>
      </c>
      <c r="M1035" t="str">
        <f t="shared" si="331"/>
        <v>SVALLANT</v>
      </c>
    </row>
    <row r="1036" spans="1:13" x14ac:dyDescent="0.25">
      <c r="A1036" t="str">
        <f t="shared" si="325"/>
        <v>10</v>
      </c>
      <c r="B1036" t="str">
        <f t="shared" si="326"/>
        <v>066</v>
      </c>
      <c r="C1036" t="str">
        <f t="shared" si="327"/>
        <v>3010106</v>
      </c>
      <c r="D1036" t="str">
        <f t="shared" si="328"/>
        <v>03</v>
      </c>
      <c r="E1036" t="str">
        <f t="shared" si="329"/>
        <v>640100</v>
      </c>
      <c r="F1036" t="str">
        <f>"11/30/16"</f>
        <v>11/30/16</v>
      </c>
      <c r="G1036" t="str">
        <f>"112879"</f>
        <v>112879</v>
      </c>
      <c r="H1036" s="4">
        <v>371.25</v>
      </c>
      <c r="I1036" s="3"/>
      <c r="J1036" t="str">
        <f t="shared" si="330"/>
        <v>SIGNET ELECTRONIC SYSTEMS INC</v>
      </c>
      <c r="K1036" t="str">
        <f>"3489917"</f>
        <v>3489917</v>
      </c>
      <c r="L1036" s="2" t="str">
        <f>"service on security cameras"</f>
        <v>service on security cameras</v>
      </c>
      <c r="M1036" t="str">
        <f t="shared" si="331"/>
        <v>SVALLANT</v>
      </c>
    </row>
    <row r="1037" spans="1:13" x14ac:dyDescent="0.25">
      <c r="A1037" t="str">
        <f t="shared" si="325"/>
        <v>10</v>
      </c>
      <c r="B1037" t="str">
        <f t="shared" si="326"/>
        <v>066</v>
      </c>
      <c r="C1037" t="str">
        <f t="shared" si="327"/>
        <v>3010106</v>
      </c>
      <c r="D1037" t="str">
        <f t="shared" si="328"/>
        <v>03</v>
      </c>
      <c r="E1037" t="str">
        <f t="shared" si="329"/>
        <v>640100</v>
      </c>
      <c r="F1037" t="str">
        <f>"12/31/14"</f>
        <v>12/31/14</v>
      </c>
      <c r="G1037" t="str">
        <f>"936189"</f>
        <v>936189</v>
      </c>
      <c r="H1037" s="4">
        <v>24750</v>
      </c>
      <c r="I1037" s="3"/>
      <c r="J1037" t="str">
        <f t="shared" si="330"/>
        <v>SIGNET ELECTRONIC SYSTEMS INC</v>
      </c>
      <c r="K1037" t="str">
        <f>"3384332"</f>
        <v>3384332</v>
      </c>
      <c r="L1037" s="2" t="str">
        <f>"camera's and card access for 180"</f>
        <v>camera's and card access for 180</v>
      </c>
      <c r="M1037" t="str">
        <f t="shared" si="331"/>
        <v>SVALLANT</v>
      </c>
    </row>
    <row r="1038" spans="1:13" x14ac:dyDescent="0.25">
      <c r="A1038" t="str">
        <f t="shared" si="325"/>
        <v>10</v>
      </c>
      <c r="B1038" t="str">
        <f t="shared" si="326"/>
        <v>066</v>
      </c>
      <c r="C1038" t="str">
        <f t="shared" si="327"/>
        <v>3010106</v>
      </c>
      <c r="D1038" t="str">
        <f t="shared" si="328"/>
        <v>03</v>
      </c>
      <c r="E1038" t="str">
        <f>"643180"</f>
        <v>643180</v>
      </c>
      <c r="F1038" t="str">
        <f>"09/30/15"</f>
        <v>09/30/15</v>
      </c>
      <c r="G1038" t="str">
        <f>"937022"</f>
        <v>937022</v>
      </c>
      <c r="H1038" s="4">
        <v>17450</v>
      </c>
      <c r="I1038" s="3"/>
      <c r="J1038" t="str">
        <f t="shared" si="330"/>
        <v>SIGNET ELECTRONIC SYSTEMS INC</v>
      </c>
      <c r="K1038" t="str">
        <f>"3435709"</f>
        <v>3435709</v>
      </c>
      <c r="L1038" s="2" t="str">
        <f>"camera and card access for 180 south main"</f>
        <v>camera and card access for 180 south main</v>
      </c>
      <c r="M1038" t="str">
        <f t="shared" si="331"/>
        <v>SVALLANT</v>
      </c>
    </row>
    <row r="1039" spans="1:13" x14ac:dyDescent="0.25">
      <c r="A1039" t="str">
        <f t="shared" si="325"/>
        <v>10</v>
      </c>
      <c r="B1039" t="str">
        <f t="shared" si="326"/>
        <v>066</v>
      </c>
      <c r="C1039" t="str">
        <f t="shared" si="327"/>
        <v>3010106</v>
      </c>
      <c r="D1039" t="str">
        <f t="shared" si="328"/>
        <v>03</v>
      </c>
      <c r="E1039" t="str">
        <f>"643180"</f>
        <v>643180</v>
      </c>
      <c r="F1039" t="str">
        <f>"09/30/15"</f>
        <v>09/30/15</v>
      </c>
      <c r="G1039" t="str">
        <f>"937126"</f>
        <v>937126</v>
      </c>
      <c r="H1039" s="4">
        <v>5450</v>
      </c>
      <c r="I1039" s="3"/>
      <c r="J1039" t="str">
        <f t="shared" si="330"/>
        <v>SIGNET ELECTRONIC SYSTEMS INC</v>
      </c>
      <c r="K1039" t="str">
        <f>"3435709"</f>
        <v>3435709</v>
      </c>
      <c r="L1039" s="2" t="str">
        <f>"camera and card access for 180 south main"</f>
        <v>camera and card access for 180 south main</v>
      </c>
      <c r="M1039" t="str">
        <f t="shared" si="331"/>
        <v>SVALLANT</v>
      </c>
    </row>
    <row r="1040" spans="1:13" x14ac:dyDescent="0.25">
      <c r="H1040" s="6">
        <f>SUM(H1029:H1039)</f>
        <v>92762.25</v>
      </c>
      <c r="I1040" s="6">
        <f>SUM(H1029:H1039)</f>
        <v>92762.25</v>
      </c>
      <c r="L1040" s="2"/>
      <c r="M1040" t="str">
        <f t="shared" si="331"/>
        <v>SVALLANT</v>
      </c>
    </row>
    <row r="1041" spans="1:13" x14ac:dyDescent="0.25">
      <c r="H1041" s="3"/>
      <c r="I1041" s="3"/>
      <c r="L1041" s="2"/>
    </row>
    <row r="1042" spans="1:13" ht="30" x14ac:dyDescent="0.25">
      <c r="A1042" t="str">
        <f t="shared" ref="A1042:A1048" si="332">"10"</f>
        <v>10</v>
      </c>
      <c r="B1042" t="str">
        <f t="shared" ref="B1042:B1048" si="333">"066"</f>
        <v>066</v>
      </c>
      <c r="C1042" t="str">
        <f t="shared" ref="C1042:C1048" si="334">"3010106"</f>
        <v>3010106</v>
      </c>
      <c r="D1042" t="str">
        <f t="shared" ref="D1042:D1048" si="335">"03"</f>
        <v>03</v>
      </c>
      <c r="E1042" t="str">
        <f>"632150"</f>
        <v>632150</v>
      </c>
      <c r="F1042" t="str">
        <f>"06/30/17"</f>
        <v>06/30/17</v>
      </c>
      <c r="G1042" t="str">
        <f>"2017-457"</f>
        <v>2017-457</v>
      </c>
      <c r="H1042" s="3">
        <v>16500</v>
      </c>
      <c r="I1042" s="3"/>
      <c r="J1042" t="str">
        <f t="shared" ref="J1042:J1048" si="336">"STONEWALL SOLUTIONS INC"</f>
        <v>STONEWALL SOLUTIONS INC</v>
      </c>
      <c r="K1042" t="str">
        <f>"3516362"</f>
        <v>3516362</v>
      </c>
      <c r="L1042" s="2" t="str">
        <f>"APA-17182  FY17-18  RIAG CRIMINAL CASE MANAGEMENT SYSTEM ENHANCEMENTS - NTE $308,880.00"</f>
        <v>APA-17182  FY17-18  RIAG CRIMINAL CASE MANAGEMENT SYSTEM ENHANCEMENTS - NTE $308,880.00</v>
      </c>
    </row>
    <row r="1043" spans="1:13" x14ac:dyDescent="0.25">
      <c r="A1043" t="str">
        <f t="shared" si="332"/>
        <v>10</v>
      </c>
      <c r="B1043" t="str">
        <f t="shared" si="333"/>
        <v>066</v>
      </c>
      <c r="C1043" t="str">
        <f t="shared" si="334"/>
        <v>3010106</v>
      </c>
      <c r="D1043" t="str">
        <f t="shared" si="335"/>
        <v>03</v>
      </c>
      <c r="E1043" t="str">
        <f t="shared" ref="E1043:E1048" si="337">"632160"</f>
        <v>632160</v>
      </c>
      <c r="F1043" t="str">
        <f>"03/31/15"</f>
        <v>03/31/15</v>
      </c>
      <c r="G1043" t="str">
        <f>"2015-143"</f>
        <v>2015-143</v>
      </c>
      <c r="H1043" s="3">
        <v>6820</v>
      </c>
      <c r="I1043" s="3"/>
      <c r="J1043" t="str">
        <f t="shared" si="336"/>
        <v>STONEWALL SOLUTIONS INC</v>
      </c>
      <c r="K1043" t="str">
        <f t="shared" ref="K1043:K1048" si="338">"3327002"</f>
        <v>3327002</v>
      </c>
      <c r="L1043" s="2" t="str">
        <f t="shared" ref="L1043:L1048" si="339">"APA-12553 - 7/1/14-12/31/14 - CMS SUPPORT SERVICES"</f>
        <v>APA-12553 - 7/1/14-12/31/14 - CMS SUPPORT SERVICES</v>
      </c>
      <c r="M1043" t="str">
        <f>"JCONDON@"</f>
        <v>JCONDON@</v>
      </c>
    </row>
    <row r="1044" spans="1:13" x14ac:dyDescent="0.25">
      <c r="A1044" t="str">
        <f t="shared" si="332"/>
        <v>10</v>
      </c>
      <c r="B1044" t="str">
        <f t="shared" si="333"/>
        <v>066</v>
      </c>
      <c r="C1044" t="str">
        <f t="shared" si="334"/>
        <v>3010106</v>
      </c>
      <c r="D1044" t="str">
        <f t="shared" si="335"/>
        <v>03</v>
      </c>
      <c r="E1044" t="str">
        <f t="shared" si="337"/>
        <v>632160</v>
      </c>
      <c r="F1044" t="str">
        <f>"03/31/15"</f>
        <v>03/31/15</v>
      </c>
      <c r="G1044" t="str">
        <f>"2015-184"</f>
        <v>2015-184</v>
      </c>
      <c r="H1044" s="3">
        <v>1815</v>
      </c>
      <c r="I1044" s="3"/>
      <c r="J1044" t="str">
        <f t="shared" si="336"/>
        <v>STONEWALL SOLUTIONS INC</v>
      </c>
      <c r="K1044" t="str">
        <f t="shared" si="338"/>
        <v>3327002</v>
      </c>
      <c r="L1044" s="2" t="str">
        <f t="shared" si="339"/>
        <v>APA-12553 - 7/1/14-12/31/14 - CMS SUPPORT SERVICES</v>
      </c>
      <c r="M1044" t="str">
        <f t="shared" ref="M1044:M1049" si="340">"SVALLANT"</f>
        <v>SVALLANT</v>
      </c>
    </row>
    <row r="1045" spans="1:13" x14ac:dyDescent="0.25">
      <c r="A1045" t="str">
        <f t="shared" si="332"/>
        <v>10</v>
      </c>
      <c r="B1045" t="str">
        <f t="shared" si="333"/>
        <v>066</v>
      </c>
      <c r="C1045" t="str">
        <f t="shared" si="334"/>
        <v>3010106</v>
      </c>
      <c r="D1045" t="str">
        <f t="shared" si="335"/>
        <v>03</v>
      </c>
      <c r="E1045" t="str">
        <f t="shared" si="337"/>
        <v>632160</v>
      </c>
      <c r="F1045" t="str">
        <f>"04/30/15"</f>
        <v>04/30/15</v>
      </c>
      <c r="G1045" t="str">
        <f>"2015-208"</f>
        <v>2015-208</v>
      </c>
      <c r="H1045" s="4">
        <v>6985</v>
      </c>
      <c r="I1045" s="3"/>
      <c r="J1045" t="str">
        <f t="shared" si="336"/>
        <v>STONEWALL SOLUTIONS INC</v>
      </c>
      <c r="K1045" t="str">
        <f t="shared" si="338"/>
        <v>3327002</v>
      </c>
      <c r="L1045" s="2" t="str">
        <f t="shared" si="339"/>
        <v>APA-12553 - 7/1/14-12/31/14 - CMS SUPPORT SERVICES</v>
      </c>
      <c r="M1045" t="str">
        <f t="shared" si="340"/>
        <v>SVALLANT</v>
      </c>
    </row>
    <row r="1046" spans="1:13" x14ac:dyDescent="0.25">
      <c r="A1046" t="str">
        <f t="shared" si="332"/>
        <v>10</v>
      </c>
      <c r="B1046" t="str">
        <f t="shared" si="333"/>
        <v>066</v>
      </c>
      <c r="C1046" t="str">
        <f t="shared" si="334"/>
        <v>3010106</v>
      </c>
      <c r="D1046" t="str">
        <f t="shared" si="335"/>
        <v>03</v>
      </c>
      <c r="E1046" t="str">
        <f t="shared" si="337"/>
        <v>632160</v>
      </c>
      <c r="F1046" t="str">
        <f>"04/30/15"</f>
        <v>04/30/15</v>
      </c>
      <c r="G1046" t="str">
        <f>"2015-233"</f>
        <v>2015-233</v>
      </c>
      <c r="H1046" s="4">
        <v>6160</v>
      </c>
      <c r="I1046" s="3"/>
      <c r="J1046" t="str">
        <f t="shared" si="336"/>
        <v>STONEWALL SOLUTIONS INC</v>
      </c>
      <c r="K1046" t="str">
        <f t="shared" si="338"/>
        <v>3327002</v>
      </c>
      <c r="L1046" s="2" t="str">
        <f t="shared" si="339"/>
        <v>APA-12553 - 7/1/14-12/31/14 - CMS SUPPORT SERVICES</v>
      </c>
      <c r="M1046" t="str">
        <f t="shared" si="340"/>
        <v>SVALLANT</v>
      </c>
    </row>
    <row r="1047" spans="1:13" x14ac:dyDescent="0.25">
      <c r="A1047" t="str">
        <f t="shared" si="332"/>
        <v>10</v>
      </c>
      <c r="B1047" t="str">
        <f t="shared" si="333"/>
        <v>066</v>
      </c>
      <c r="C1047" t="str">
        <f t="shared" si="334"/>
        <v>3010106</v>
      </c>
      <c r="D1047" t="str">
        <f t="shared" si="335"/>
        <v>03</v>
      </c>
      <c r="E1047" t="str">
        <f t="shared" si="337"/>
        <v>632160</v>
      </c>
      <c r="F1047" t="str">
        <f>"12/31/14"</f>
        <v>12/31/14</v>
      </c>
      <c r="G1047" t="str">
        <f>"2015-133"</f>
        <v>2015-133</v>
      </c>
      <c r="H1047" s="4">
        <v>6930</v>
      </c>
      <c r="I1047" s="3"/>
      <c r="J1047" t="str">
        <f t="shared" si="336"/>
        <v>STONEWALL SOLUTIONS INC</v>
      </c>
      <c r="K1047" t="str">
        <f t="shared" si="338"/>
        <v>3327002</v>
      </c>
      <c r="L1047" s="2" t="str">
        <f t="shared" si="339"/>
        <v>APA-12553 - 7/1/14-12/31/14 - CMS SUPPORT SERVICES</v>
      </c>
      <c r="M1047" t="str">
        <f t="shared" si="340"/>
        <v>SVALLANT</v>
      </c>
    </row>
    <row r="1048" spans="1:13" x14ac:dyDescent="0.25">
      <c r="A1048" t="str">
        <f t="shared" si="332"/>
        <v>10</v>
      </c>
      <c r="B1048" t="str">
        <f t="shared" si="333"/>
        <v>066</v>
      </c>
      <c r="C1048" t="str">
        <f t="shared" si="334"/>
        <v>3010106</v>
      </c>
      <c r="D1048" t="str">
        <f t="shared" si="335"/>
        <v>03</v>
      </c>
      <c r="E1048" t="str">
        <f t="shared" si="337"/>
        <v>632160</v>
      </c>
      <c r="F1048" t="str">
        <f>"12/31/14"</f>
        <v>12/31/14</v>
      </c>
      <c r="G1048" t="str">
        <f>"2015-134"</f>
        <v>2015-134</v>
      </c>
      <c r="H1048" s="4">
        <v>6160</v>
      </c>
      <c r="I1048" s="3"/>
      <c r="J1048" t="str">
        <f t="shared" si="336"/>
        <v>STONEWALL SOLUTIONS INC</v>
      </c>
      <c r="K1048" t="str">
        <f t="shared" si="338"/>
        <v>3327002</v>
      </c>
      <c r="L1048" s="2" t="str">
        <f t="shared" si="339"/>
        <v>APA-12553 - 7/1/14-12/31/14 - CMS SUPPORT SERVICES</v>
      </c>
      <c r="M1048" t="str">
        <f t="shared" si="340"/>
        <v>SVALLANT</v>
      </c>
    </row>
    <row r="1049" spans="1:13" x14ac:dyDescent="0.25">
      <c r="A1049" t="str">
        <f t="shared" si="0"/>
        <v>10</v>
      </c>
      <c r="B1049" t="str">
        <f t="shared" si="5"/>
        <v>066</v>
      </c>
      <c r="C1049" t="str">
        <f t="shared" si="6"/>
        <v>3010106</v>
      </c>
      <c r="D1049" t="str">
        <f t="shared" si="7"/>
        <v>03</v>
      </c>
      <c r="E1049" t="str">
        <f>"632160"</f>
        <v>632160</v>
      </c>
      <c r="F1049" t="str">
        <f>"04/10/15"</f>
        <v>04/10/15</v>
      </c>
      <c r="G1049" t="str">
        <f>"J15066MEF0372"</f>
        <v>J15066MEF0372</v>
      </c>
      <c r="H1049" s="4">
        <v>-21725</v>
      </c>
      <c r="I1049" s="3"/>
      <c r="J1049" t="str">
        <f>""</f>
        <v/>
      </c>
      <c r="K1049" t="str">
        <f>""</f>
        <v/>
      </c>
      <c r="L1049" s="2" t="str">
        <f>"ADJUSTMENT OF STONEWALL CHARGES"</f>
        <v>ADJUSTMENT OF STONEWALL CHARGES</v>
      </c>
      <c r="M1049" t="str">
        <f t="shared" si="340"/>
        <v>SVALLANT</v>
      </c>
    </row>
    <row r="1050" spans="1:13" x14ac:dyDescent="0.25">
      <c r="A1050" t="str">
        <f t="shared" si="0"/>
        <v>10</v>
      </c>
      <c r="B1050" t="str">
        <f t="shared" si="5"/>
        <v>066</v>
      </c>
      <c r="C1050" t="str">
        <f t="shared" si="6"/>
        <v>3010106</v>
      </c>
      <c r="D1050" t="str">
        <f t="shared" si="7"/>
        <v>03</v>
      </c>
      <c r="E1050" t="str">
        <f>"632160"</f>
        <v>632160</v>
      </c>
      <c r="F1050" t="str">
        <f>"04/29/15"</f>
        <v>04/29/15</v>
      </c>
      <c r="G1050" t="str">
        <f>"J15066MEF0467"</f>
        <v>J15066MEF0467</v>
      </c>
      <c r="H1050" s="4">
        <v>-6985</v>
      </c>
      <c r="I1050" s="3"/>
      <c r="J1050" t="str">
        <f>""</f>
        <v/>
      </c>
      <c r="K1050" t="str">
        <f>""</f>
        <v/>
      </c>
      <c r="L1050" s="2" t="str">
        <f>"STONEWALL ADJUSTMENT"</f>
        <v>STONEWALL ADJUSTMENT</v>
      </c>
    </row>
    <row r="1051" spans="1:13" x14ac:dyDescent="0.25">
      <c r="A1051" t="str">
        <f t="shared" si="0"/>
        <v>10</v>
      </c>
      <c r="B1051" t="str">
        <f t="shared" si="5"/>
        <v>066</v>
      </c>
      <c r="C1051" t="str">
        <f t="shared" si="6"/>
        <v>3010106</v>
      </c>
      <c r="D1051" t="str">
        <f t="shared" si="7"/>
        <v>03</v>
      </c>
      <c r="E1051" t="str">
        <f>"632160"</f>
        <v>632160</v>
      </c>
      <c r="F1051" t="str">
        <f>"04/30/15"</f>
        <v>04/30/15</v>
      </c>
      <c r="G1051" t="str">
        <f>"J15066MEF0496"</f>
        <v>J15066MEF0496</v>
      </c>
      <c r="H1051" s="3">
        <v>-6160</v>
      </c>
      <c r="I1051" s="3"/>
      <c r="J1051" t="str">
        <f>""</f>
        <v/>
      </c>
      <c r="K1051" t="str">
        <f>""</f>
        <v/>
      </c>
      <c r="L1051" s="2" t="str">
        <f>"STONEWALL ADJUSTMENT"</f>
        <v>STONEWALL ADJUSTMENT</v>
      </c>
    </row>
    <row r="1052" spans="1:13" x14ac:dyDescent="0.25">
      <c r="H1052" s="6">
        <f>SUM(H1042:H1051)</f>
        <v>16500</v>
      </c>
      <c r="I1052" s="6">
        <f>SUM(H1042:H1051)</f>
        <v>16500</v>
      </c>
      <c r="L1052" s="2"/>
    </row>
    <row r="1053" spans="1:13" x14ac:dyDescent="0.25">
      <c r="H1053" s="3"/>
      <c r="I1053" s="3"/>
      <c r="L1053" s="2"/>
    </row>
    <row r="1054" spans="1:13" x14ac:dyDescent="0.25">
      <c r="A1054" t="str">
        <f>"10"</f>
        <v>10</v>
      </c>
      <c r="B1054" t="str">
        <f>"066"</f>
        <v>066</v>
      </c>
      <c r="C1054" t="str">
        <f>"3010106"</f>
        <v>3010106</v>
      </c>
      <c r="D1054" t="str">
        <f>"03"</f>
        <v>03</v>
      </c>
      <c r="E1054" t="str">
        <f>"640100"</f>
        <v>640100</v>
      </c>
      <c r="F1054" t="str">
        <f>"08/31/15"</f>
        <v>08/31/15</v>
      </c>
      <c r="G1054" t="str">
        <f>"16066MEF0030"</f>
        <v>16066MEF0030</v>
      </c>
      <c r="H1054" s="6">
        <v>850</v>
      </c>
      <c r="I1054" s="6">
        <f>SUM(H1054)</f>
        <v>850</v>
      </c>
      <c r="J1054" t="str">
        <f>"SUNSET TINT INC"</f>
        <v>SUNSET TINT INC</v>
      </c>
      <c r="K1054" t="str">
        <f>"3428651"</f>
        <v>3428651</v>
      </c>
      <c r="L1054" s="2" t="str">
        <f>"tinting to windows @ 180"</f>
        <v>tinting to windows @ 180</v>
      </c>
    </row>
    <row r="1055" spans="1:13" x14ac:dyDescent="0.25">
      <c r="H1055" s="6"/>
      <c r="I1055" s="6"/>
      <c r="L1055" s="2"/>
      <c r="M1055" t="str">
        <f>"MFUSCO"</f>
        <v>MFUSCO</v>
      </c>
    </row>
    <row r="1056" spans="1:13" x14ac:dyDescent="0.25">
      <c r="A1056" t="str">
        <f>"10"</f>
        <v>10</v>
      </c>
      <c r="B1056" t="str">
        <f>"066"</f>
        <v>066</v>
      </c>
      <c r="C1056" t="str">
        <f>"3010106"</f>
        <v>3010106</v>
      </c>
      <c r="D1056" t="str">
        <f>"03"</f>
        <v>03</v>
      </c>
      <c r="E1056" t="str">
        <f>"640100"</f>
        <v>640100</v>
      </c>
      <c r="F1056" t="str">
        <f>"06/30/15"</f>
        <v>06/30/15</v>
      </c>
      <c r="G1056" t="str">
        <f>"2778"</f>
        <v>2778</v>
      </c>
      <c r="H1056" s="6">
        <v>1050</v>
      </c>
      <c r="I1056" s="6">
        <f>SUM(H1056)</f>
        <v>1050</v>
      </c>
      <c r="J1056" t="str">
        <f>"TC WINDOW &amp; GUTTER CLEANING INC"</f>
        <v>TC WINDOW &amp; GUTTER CLEANING INC</v>
      </c>
      <c r="K1056" t="str">
        <f>"3424275"</f>
        <v>3424275</v>
      </c>
      <c r="L1056" s="2" t="str">
        <f>"window washing"</f>
        <v>window washing</v>
      </c>
    </row>
    <row r="1057" spans="1:13" x14ac:dyDescent="0.25">
      <c r="H1057" s="6"/>
      <c r="I1057" s="6"/>
      <c r="L1057" s="2"/>
      <c r="M1057" t="str">
        <f>"SVALLANT"</f>
        <v>SVALLANT</v>
      </c>
    </row>
    <row r="1058" spans="1:13" x14ac:dyDescent="0.25">
      <c r="A1058" t="str">
        <f t="shared" ref="A1058:A1088" si="341">"10"</f>
        <v>10</v>
      </c>
      <c r="B1058" t="str">
        <f t="shared" ref="B1058:B1088" si="342">"066"</f>
        <v>066</v>
      </c>
      <c r="C1058" t="str">
        <f t="shared" ref="C1058:C1088" si="343">"3010106"</f>
        <v>3010106</v>
      </c>
      <c r="D1058" t="str">
        <f t="shared" ref="D1058:D1088" si="344">"03"</f>
        <v>03</v>
      </c>
      <c r="E1058" t="str">
        <f>"638200"</f>
        <v>638200</v>
      </c>
      <c r="F1058" t="str">
        <f>"06/30/17"</f>
        <v>06/30/17</v>
      </c>
      <c r="G1058" t="str">
        <f>"3664146920"</f>
        <v>3664146920</v>
      </c>
      <c r="H1058" s="3">
        <v>32</v>
      </c>
      <c r="I1058" s="3"/>
      <c r="J1058" t="str">
        <f t="shared" ref="J1058:J1088" si="345">"TERMINIX INTERNATIONAL"</f>
        <v>TERMINIX INTERNATIONAL</v>
      </c>
      <c r="K1058" t="str">
        <f>""</f>
        <v/>
      </c>
      <c r="L1058" s="2" t="str">
        <f>"PEST CONTROL FOR JUNE FOR 180 SOUTH MAIN STREET"</f>
        <v>PEST CONTROL FOR JUNE FOR 180 SOUTH MAIN STREET</v>
      </c>
    </row>
    <row r="1059" spans="1:13" x14ac:dyDescent="0.25">
      <c r="A1059" t="str">
        <f t="shared" si="341"/>
        <v>10</v>
      </c>
      <c r="B1059" t="str">
        <f t="shared" si="342"/>
        <v>066</v>
      </c>
      <c r="C1059" t="str">
        <f t="shared" si="343"/>
        <v>3010106</v>
      </c>
      <c r="D1059" t="str">
        <f t="shared" si="344"/>
        <v>03</v>
      </c>
      <c r="E1059" t="str">
        <f t="shared" ref="E1059:E1088" si="346">"640100"</f>
        <v>640100</v>
      </c>
      <c r="F1059" t="str">
        <f>"01/31/15"</f>
        <v>01/31/15</v>
      </c>
      <c r="G1059" t="str">
        <f>"341141641"</f>
        <v>341141641</v>
      </c>
      <c r="H1059" s="3">
        <v>30</v>
      </c>
      <c r="I1059" s="3"/>
      <c r="J1059" t="str">
        <f t="shared" si="345"/>
        <v>TERMINIX INTERNATIONAL</v>
      </c>
      <c r="K1059" t="str">
        <f>"3401773"</f>
        <v>3401773</v>
      </c>
      <c r="L1059" s="2" t="str">
        <f t="shared" ref="L1059:L1067" si="347">"PEST CONTROL SERVICES FOR 12 MONTHS-180 SOUTH MAIN ST"</f>
        <v>PEST CONTROL SERVICES FOR 12 MONTHS-180 SOUTH MAIN ST</v>
      </c>
      <c r="M1059" t="str">
        <f t="shared" ref="M1059:M1089" si="348">"MFUSCO"</f>
        <v>MFUSCO</v>
      </c>
    </row>
    <row r="1060" spans="1:13" x14ac:dyDescent="0.25">
      <c r="A1060" t="str">
        <f t="shared" si="341"/>
        <v>10</v>
      </c>
      <c r="B1060" t="str">
        <f t="shared" si="342"/>
        <v>066</v>
      </c>
      <c r="C1060" t="str">
        <f t="shared" si="343"/>
        <v>3010106</v>
      </c>
      <c r="D1060" t="str">
        <f t="shared" si="344"/>
        <v>03</v>
      </c>
      <c r="E1060" t="str">
        <f t="shared" si="346"/>
        <v>640100</v>
      </c>
      <c r="F1060" t="str">
        <f>"01/31/16"</f>
        <v>01/31/16</v>
      </c>
      <c r="G1060" t="str">
        <f>"351220220"</f>
        <v>351220220</v>
      </c>
      <c r="H1060" s="4">
        <v>30</v>
      </c>
      <c r="I1060" s="3"/>
      <c r="J1060" t="str">
        <f t="shared" si="345"/>
        <v>TERMINIX INTERNATIONAL</v>
      </c>
      <c r="K1060" t="str">
        <f>"3440288"</f>
        <v>3440288</v>
      </c>
      <c r="L1060" s="2" t="str">
        <f t="shared" si="347"/>
        <v>PEST CONTROL SERVICES FOR 12 MONTHS-180 SOUTH MAIN ST</v>
      </c>
      <c r="M1060" t="str">
        <f t="shared" si="348"/>
        <v>MFUSCO</v>
      </c>
    </row>
    <row r="1061" spans="1:13" x14ac:dyDescent="0.25">
      <c r="A1061" t="str">
        <f t="shared" si="341"/>
        <v>10</v>
      </c>
      <c r="B1061" t="str">
        <f t="shared" si="342"/>
        <v>066</v>
      </c>
      <c r="C1061" t="str">
        <f t="shared" si="343"/>
        <v>3010106</v>
      </c>
      <c r="D1061" t="str">
        <f t="shared" si="344"/>
        <v>03</v>
      </c>
      <c r="E1061" t="str">
        <f t="shared" si="346"/>
        <v>640100</v>
      </c>
      <c r="F1061" t="str">
        <f>"01/31/17"</f>
        <v>01/31/17</v>
      </c>
      <c r="G1061" t="str">
        <f>"360397837"</f>
        <v>360397837</v>
      </c>
      <c r="H1061" s="4">
        <v>30</v>
      </c>
      <c r="I1061" s="3"/>
      <c r="J1061" t="str">
        <f t="shared" si="345"/>
        <v>TERMINIX INTERNATIONAL</v>
      </c>
      <c r="K1061" t="str">
        <f>"3480464"</f>
        <v>3480464</v>
      </c>
      <c r="L1061" s="2" t="str">
        <f t="shared" si="347"/>
        <v>PEST CONTROL SERVICES FOR 12 MONTHS-180 SOUTH MAIN ST</v>
      </c>
      <c r="M1061" t="str">
        <f t="shared" si="348"/>
        <v>MFUSCO</v>
      </c>
    </row>
    <row r="1062" spans="1:13" x14ac:dyDescent="0.25">
      <c r="A1062" t="str">
        <f t="shared" si="341"/>
        <v>10</v>
      </c>
      <c r="B1062" t="str">
        <f t="shared" si="342"/>
        <v>066</v>
      </c>
      <c r="C1062" t="str">
        <f t="shared" si="343"/>
        <v>3010106</v>
      </c>
      <c r="D1062" t="str">
        <f t="shared" si="344"/>
        <v>03</v>
      </c>
      <c r="E1062" t="str">
        <f t="shared" si="346"/>
        <v>640100</v>
      </c>
      <c r="F1062" t="str">
        <f>"01/31/17"</f>
        <v>01/31/17</v>
      </c>
      <c r="G1062" t="str">
        <f>"361033125"</f>
        <v>361033125</v>
      </c>
      <c r="H1062" s="4">
        <v>30</v>
      </c>
      <c r="I1062" s="3"/>
      <c r="J1062" t="str">
        <f t="shared" si="345"/>
        <v>TERMINIX INTERNATIONAL</v>
      </c>
      <c r="K1062" t="str">
        <f>"3480464"</f>
        <v>3480464</v>
      </c>
      <c r="L1062" s="2" t="str">
        <f t="shared" si="347"/>
        <v>PEST CONTROL SERVICES FOR 12 MONTHS-180 SOUTH MAIN ST</v>
      </c>
      <c r="M1062" t="str">
        <f t="shared" si="348"/>
        <v>MFUSCO</v>
      </c>
    </row>
    <row r="1063" spans="1:13" x14ac:dyDescent="0.25">
      <c r="A1063" t="str">
        <f t="shared" si="341"/>
        <v>10</v>
      </c>
      <c r="B1063" t="str">
        <f t="shared" si="342"/>
        <v>066</v>
      </c>
      <c r="C1063" t="str">
        <f t="shared" si="343"/>
        <v>3010106</v>
      </c>
      <c r="D1063" t="str">
        <f t="shared" si="344"/>
        <v>03</v>
      </c>
      <c r="E1063" t="str">
        <f t="shared" si="346"/>
        <v>640100</v>
      </c>
      <c r="F1063" t="str">
        <f>"02/28/17"</f>
        <v>02/28/17</v>
      </c>
      <c r="G1063" t="str">
        <f>"07-FEB-2017"</f>
        <v>07-FEB-2017</v>
      </c>
      <c r="H1063" s="4">
        <v>30</v>
      </c>
      <c r="I1063" s="3"/>
      <c r="J1063" t="str">
        <f t="shared" si="345"/>
        <v>TERMINIX INTERNATIONAL</v>
      </c>
      <c r="K1063" t="str">
        <f>"3480464"</f>
        <v>3480464</v>
      </c>
      <c r="L1063" s="2" t="str">
        <f t="shared" si="347"/>
        <v>PEST CONTROL SERVICES FOR 12 MONTHS-180 SOUTH MAIN ST</v>
      </c>
      <c r="M1063" t="str">
        <f t="shared" si="348"/>
        <v>MFUSCO</v>
      </c>
    </row>
    <row r="1064" spans="1:13" x14ac:dyDescent="0.25">
      <c r="A1064" t="str">
        <f t="shared" si="341"/>
        <v>10</v>
      </c>
      <c r="B1064" t="str">
        <f t="shared" si="342"/>
        <v>066</v>
      </c>
      <c r="C1064" t="str">
        <f t="shared" si="343"/>
        <v>3010106</v>
      </c>
      <c r="D1064" t="str">
        <f t="shared" si="344"/>
        <v>03</v>
      </c>
      <c r="E1064" t="str">
        <f t="shared" si="346"/>
        <v>640100</v>
      </c>
      <c r="F1064" t="str">
        <f>"03/31/15"</f>
        <v>03/31/15</v>
      </c>
      <c r="G1064" t="str">
        <f>"342770182"</f>
        <v>342770182</v>
      </c>
      <c r="H1064" s="4">
        <v>30</v>
      </c>
      <c r="I1064" s="3"/>
      <c r="J1064" t="str">
        <f t="shared" si="345"/>
        <v>TERMINIX INTERNATIONAL</v>
      </c>
      <c r="K1064" t="str">
        <f>"3401773"</f>
        <v>3401773</v>
      </c>
      <c r="L1064" s="2" t="str">
        <f t="shared" si="347"/>
        <v>PEST CONTROL SERVICES FOR 12 MONTHS-180 SOUTH MAIN ST</v>
      </c>
      <c r="M1064" t="str">
        <f t="shared" si="348"/>
        <v>MFUSCO</v>
      </c>
    </row>
    <row r="1065" spans="1:13" x14ac:dyDescent="0.25">
      <c r="A1065" t="str">
        <f t="shared" si="341"/>
        <v>10</v>
      </c>
      <c r="B1065" t="str">
        <f t="shared" si="342"/>
        <v>066</v>
      </c>
      <c r="C1065" t="str">
        <f t="shared" si="343"/>
        <v>3010106</v>
      </c>
      <c r="D1065" t="str">
        <f t="shared" si="344"/>
        <v>03</v>
      </c>
      <c r="E1065" t="str">
        <f t="shared" si="346"/>
        <v>640100</v>
      </c>
      <c r="F1065" t="str">
        <f>"03/31/16"</f>
        <v>03/31/16</v>
      </c>
      <c r="G1065" t="str">
        <f>"352855065"</f>
        <v>352855065</v>
      </c>
      <c r="H1065" s="4">
        <v>30</v>
      </c>
      <c r="I1065" s="3"/>
      <c r="J1065" t="str">
        <f t="shared" si="345"/>
        <v>TERMINIX INTERNATIONAL</v>
      </c>
      <c r="K1065" t="str">
        <f>"3440288"</f>
        <v>3440288</v>
      </c>
      <c r="L1065" s="2" t="str">
        <f t="shared" si="347"/>
        <v>PEST CONTROL SERVICES FOR 12 MONTHS-180 SOUTH MAIN ST</v>
      </c>
      <c r="M1065" t="str">
        <f t="shared" si="348"/>
        <v>MFUSCO</v>
      </c>
    </row>
    <row r="1066" spans="1:13" x14ac:dyDescent="0.25">
      <c r="A1066" t="str">
        <f t="shared" si="341"/>
        <v>10</v>
      </c>
      <c r="B1066" t="str">
        <f t="shared" si="342"/>
        <v>066</v>
      </c>
      <c r="C1066" t="str">
        <f t="shared" si="343"/>
        <v>3010106</v>
      </c>
      <c r="D1066" t="str">
        <f t="shared" si="344"/>
        <v>03</v>
      </c>
      <c r="E1066" t="str">
        <f t="shared" si="346"/>
        <v>640100</v>
      </c>
      <c r="F1066" t="str">
        <f>"03/31/17"</f>
        <v>03/31/17</v>
      </c>
      <c r="G1066" t="str">
        <f>"362774058"</f>
        <v>362774058</v>
      </c>
      <c r="H1066" s="4">
        <v>32</v>
      </c>
      <c r="I1066" s="3"/>
      <c r="J1066" t="str">
        <f t="shared" si="345"/>
        <v>TERMINIX INTERNATIONAL</v>
      </c>
      <c r="K1066" t="str">
        <f>"3480464"</f>
        <v>3480464</v>
      </c>
      <c r="L1066" s="2" t="str">
        <f t="shared" si="347"/>
        <v>PEST CONTROL SERVICES FOR 12 MONTHS-180 SOUTH MAIN ST</v>
      </c>
      <c r="M1066" t="str">
        <f t="shared" si="348"/>
        <v>MFUSCO</v>
      </c>
    </row>
    <row r="1067" spans="1:13" x14ac:dyDescent="0.25">
      <c r="A1067" t="str">
        <f t="shared" si="341"/>
        <v>10</v>
      </c>
      <c r="B1067" t="str">
        <f t="shared" si="342"/>
        <v>066</v>
      </c>
      <c r="C1067" t="str">
        <f t="shared" si="343"/>
        <v>3010106</v>
      </c>
      <c r="D1067" t="str">
        <f t="shared" si="344"/>
        <v>03</v>
      </c>
      <c r="E1067" t="str">
        <f t="shared" si="346"/>
        <v>640100</v>
      </c>
      <c r="F1067" t="str">
        <f>"04/30/16"</f>
        <v>04/30/16</v>
      </c>
      <c r="G1067" t="str">
        <f>"353666991"</f>
        <v>353666991</v>
      </c>
      <c r="H1067" s="4">
        <v>30</v>
      </c>
      <c r="I1067" s="3"/>
      <c r="J1067" t="str">
        <f t="shared" si="345"/>
        <v>TERMINIX INTERNATIONAL</v>
      </c>
      <c r="K1067" t="str">
        <f>"3440288"</f>
        <v>3440288</v>
      </c>
      <c r="L1067" s="2" t="str">
        <f t="shared" si="347"/>
        <v>PEST CONTROL SERVICES FOR 12 MONTHS-180 SOUTH MAIN ST</v>
      </c>
      <c r="M1067" t="str">
        <f t="shared" si="348"/>
        <v>MFUSCO</v>
      </c>
    </row>
    <row r="1068" spans="1:13" x14ac:dyDescent="0.25">
      <c r="A1068" t="str">
        <f t="shared" si="341"/>
        <v>10</v>
      </c>
      <c r="B1068" t="str">
        <f t="shared" si="342"/>
        <v>066</v>
      </c>
      <c r="C1068" t="str">
        <f t="shared" si="343"/>
        <v>3010106</v>
      </c>
      <c r="D1068" t="str">
        <f t="shared" si="344"/>
        <v>03</v>
      </c>
      <c r="E1068" t="str">
        <f t="shared" si="346"/>
        <v>640100</v>
      </c>
      <c r="F1068" t="str">
        <f>"05/31/15"</f>
        <v>05/31/15</v>
      </c>
      <c r="G1068" t="str">
        <f>"343752360"</f>
        <v>343752360</v>
      </c>
      <c r="H1068" s="4">
        <v>30</v>
      </c>
      <c r="I1068" s="3"/>
      <c r="J1068" t="str">
        <f t="shared" si="345"/>
        <v>TERMINIX INTERNATIONAL</v>
      </c>
      <c r="K1068" t="str">
        <f>"3383832"</f>
        <v>3383832</v>
      </c>
      <c r="L1068" s="2" t="str">
        <f>"pest control 180 south main"</f>
        <v>pest control 180 south main</v>
      </c>
      <c r="M1068" t="str">
        <f t="shared" si="348"/>
        <v>MFUSCO</v>
      </c>
    </row>
    <row r="1069" spans="1:13" x14ac:dyDescent="0.25">
      <c r="A1069" t="str">
        <f t="shared" si="341"/>
        <v>10</v>
      </c>
      <c r="B1069" t="str">
        <f t="shared" si="342"/>
        <v>066</v>
      </c>
      <c r="C1069" t="str">
        <f t="shared" si="343"/>
        <v>3010106</v>
      </c>
      <c r="D1069" t="str">
        <f t="shared" si="344"/>
        <v>03</v>
      </c>
      <c r="E1069" t="str">
        <f t="shared" si="346"/>
        <v>640100</v>
      </c>
      <c r="F1069" t="str">
        <f>"05/31/15"</f>
        <v>05/31/15</v>
      </c>
      <c r="G1069" t="str">
        <f>"344540706"</f>
        <v>344540706</v>
      </c>
      <c r="H1069" s="4">
        <v>30</v>
      </c>
      <c r="I1069" s="3"/>
      <c r="J1069" t="str">
        <f t="shared" si="345"/>
        <v>TERMINIX INTERNATIONAL</v>
      </c>
      <c r="K1069" t="str">
        <f>"3383832"</f>
        <v>3383832</v>
      </c>
      <c r="L1069" s="2" t="str">
        <f>"pest control 180 south main"</f>
        <v>pest control 180 south main</v>
      </c>
      <c r="M1069" t="str">
        <f t="shared" si="348"/>
        <v>MFUSCO</v>
      </c>
    </row>
    <row r="1070" spans="1:13" x14ac:dyDescent="0.25">
      <c r="A1070" t="str">
        <f t="shared" si="341"/>
        <v>10</v>
      </c>
      <c r="B1070" t="str">
        <f t="shared" si="342"/>
        <v>066</v>
      </c>
      <c r="C1070" t="str">
        <f t="shared" si="343"/>
        <v>3010106</v>
      </c>
      <c r="D1070" t="str">
        <f t="shared" si="344"/>
        <v>03</v>
      </c>
      <c r="E1070" t="str">
        <f t="shared" si="346"/>
        <v>640100</v>
      </c>
      <c r="F1070" t="str">
        <f>"05/31/16"</f>
        <v>05/31/16</v>
      </c>
      <c r="G1070" t="str">
        <f>"3512202200"</f>
        <v>3512202200</v>
      </c>
      <c r="H1070" s="4">
        <v>30</v>
      </c>
      <c r="I1070" s="3"/>
      <c r="J1070" t="str">
        <f t="shared" si="345"/>
        <v>TERMINIX INTERNATIONAL</v>
      </c>
      <c r="K1070" t="str">
        <f>"3440288"</f>
        <v>3440288</v>
      </c>
      <c r="L1070" s="2" t="str">
        <f>"PEST CONTROL SERVICES FOR 12 MONTHS-180 SOUTH MAIN ST"</f>
        <v>PEST CONTROL SERVICES FOR 12 MONTHS-180 SOUTH MAIN ST</v>
      </c>
      <c r="M1070" t="str">
        <f t="shared" si="348"/>
        <v>MFUSCO</v>
      </c>
    </row>
    <row r="1071" spans="1:13" x14ac:dyDescent="0.25">
      <c r="A1071" t="str">
        <f t="shared" si="341"/>
        <v>10</v>
      </c>
      <c r="B1071" t="str">
        <f t="shared" si="342"/>
        <v>066</v>
      </c>
      <c r="C1071" t="str">
        <f t="shared" si="343"/>
        <v>3010106</v>
      </c>
      <c r="D1071" t="str">
        <f t="shared" si="344"/>
        <v>03</v>
      </c>
      <c r="E1071" t="str">
        <f t="shared" si="346"/>
        <v>640100</v>
      </c>
      <c r="F1071" t="str">
        <f>"05/31/16"</f>
        <v>05/31/16</v>
      </c>
      <c r="G1071" t="str">
        <f>"354450379"</f>
        <v>354450379</v>
      </c>
      <c r="H1071" s="4">
        <v>30</v>
      </c>
      <c r="I1071" s="3"/>
      <c r="J1071" t="str">
        <f t="shared" si="345"/>
        <v>TERMINIX INTERNATIONAL</v>
      </c>
      <c r="K1071" t="str">
        <f>"3440288"</f>
        <v>3440288</v>
      </c>
      <c r="L1071" s="2" t="str">
        <f>"PEST CONTROL SERVICES FOR 12 MONTHS-180 SOUTH MAIN ST"</f>
        <v>PEST CONTROL SERVICES FOR 12 MONTHS-180 SOUTH MAIN ST</v>
      </c>
      <c r="M1071" t="str">
        <f t="shared" si="348"/>
        <v>MFUSCO</v>
      </c>
    </row>
    <row r="1072" spans="1:13" x14ac:dyDescent="0.25">
      <c r="A1072" t="str">
        <f t="shared" si="341"/>
        <v>10</v>
      </c>
      <c r="B1072" t="str">
        <f t="shared" si="342"/>
        <v>066</v>
      </c>
      <c r="C1072" t="str">
        <f t="shared" si="343"/>
        <v>3010106</v>
      </c>
      <c r="D1072" t="str">
        <f t="shared" si="344"/>
        <v>03</v>
      </c>
      <c r="E1072" t="str">
        <f t="shared" si="346"/>
        <v>640100</v>
      </c>
      <c r="F1072" t="str">
        <f>"05/31/17"</f>
        <v>05/31/17</v>
      </c>
      <c r="G1072" t="str">
        <f>"363754157"</f>
        <v>363754157</v>
      </c>
      <c r="H1072" s="4">
        <v>30</v>
      </c>
      <c r="I1072" s="3"/>
      <c r="J1072" t="str">
        <f t="shared" si="345"/>
        <v>TERMINIX INTERNATIONAL</v>
      </c>
      <c r="K1072" t="str">
        <f>"3480464"</f>
        <v>3480464</v>
      </c>
      <c r="L1072" s="2" t="str">
        <f>"PEST CONTROL SERVICES FOR 12 MONTHS-180 SOUTH MAIN ST"</f>
        <v>PEST CONTROL SERVICES FOR 12 MONTHS-180 SOUTH MAIN ST</v>
      </c>
      <c r="M1072" t="str">
        <f t="shared" si="348"/>
        <v>MFUSCO</v>
      </c>
    </row>
    <row r="1073" spans="1:13" x14ac:dyDescent="0.25">
      <c r="A1073" t="str">
        <f t="shared" si="341"/>
        <v>10</v>
      </c>
      <c r="B1073" t="str">
        <f t="shared" si="342"/>
        <v>066</v>
      </c>
      <c r="C1073" t="str">
        <f t="shared" si="343"/>
        <v>3010106</v>
      </c>
      <c r="D1073" t="str">
        <f t="shared" si="344"/>
        <v>03</v>
      </c>
      <c r="E1073" t="str">
        <f t="shared" si="346"/>
        <v>640100</v>
      </c>
      <c r="F1073" t="str">
        <f>"05/31/17"</f>
        <v>05/31/17</v>
      </c>
      <c r="G1073" t="str">
        <f>"364573708"</f>
        <v>364573708</v>
      </c>
      <c r="H1073" s="4">
        <v>32</v>
      </c>
      <c r="I1073" s="3"/>
      <c r="J1073" t="str">
        <f t="shared" si="345"/>
        <v>TERMINIX INTERNATIONAL</v>
      </c>
      <c r="K1073" t="str">
        <f>"3480464"</f>
        <v>3480464</v>
      </c>
      <c r="L1073" s="2" t="str">
        <f>"PEST CONTROL SERVICES FOR 12 MONTHS-180 SOUTH MAIN ST"</f>
        <v>PEST CONTROL SERVICES FOR 12 MONTHS-180 SOUTH MAIN ST</v>
      </c>
      <c r="M1073" t="str">
        <f t="shared" si="348"/>
        <v>MFUSCO</v>
      </c>
    </row>
    <row r="1074" spans="1:13" x14ac:dyDescent="0.25">
      <c r="A1074" t="str">
        <f t="shared" si="341"/>
        <v>10</v>
      </c>
      <c r="B1074" t="str">
        <f t="shared" si="342"/>
        <v>066</v>
      </c>
      <c r="C1074" t="str">
        <f t="shared" si="343"/>
        <v>3010106</v>
      </c>
      <c r="D1074" t="str">
        <f t="shared" si="344"/>
        <v>03</v>
      </c>
      <c r="E1074" t="str">
        <f t="shared" si="346"/>
        <v>640100</v>
      </c>
      <c r="F1074" t="str">
        <f>"06/30/15"</f>
        <v>06/30/15</v>
      </c>
      <c r="G1074" t="str">
        <f>"345351368"</f>
        <v>345351368</v>
      </c>
      <c r="H1074" s="4">
        <v>30</v>
      </c>
      <c r="I1074" s="3"/>
      <c r="J1074" t="str">
        <f t="shared" si="345"/>
        <v>TERMINIX INTERNATIONAL</v>
      </c>
      <c r="K1074" t="str">
        <f>"3383832"</f>
        <v>3383832</v>
      </c>
      <c r="L1074" s="2" t="str">
        <f>"pest control 180 south main"</f>
        <v>pest control 180 south main</v>
      </c>
      <c r="M1074" t="str">
        <f t="shared" si="348"/>
        <v>MFUSCO</v>
      </c>
    </row>
    <row r="1075" spans="1:13" x14ac:dyDescent="0.25">
      <c r="A1075" t="str">
        <f t="shared" si="341"/>
        <v>10</v>
      </c>
      <c r="B1075" t="str">
        <f t="shared" si="342"/>
        <v>066</v>
      </c>
      <c r="C1075" t="str">
        <f t="shared" si="343"/>
        <v>3010106</v>
      </c>
      <c r="D1075" t="str">
        <f t="shared" si="344"/>
        <v>03</v>
      </c>
      <c r="E1075" t="str">
        <f t="shared" si="346"/>
        <v>640100</v>
      </c>
      <c r="F1075" t="str">
        <f>"06/30/15"</f>
        <v>06/30/15</v>
      </c>
      <c r="G1075" t="str">
        <f>"346312177"</f>
        <v>346312177</v>
      </c>
      <c r="H1075" s="4">
        <v>30</v>
      </c>
      <c r="I1075" s="3"/>
      <c r="J1075" t="str">
        <f t="shared" si="345"/>
        <v>TERMINIX INTERNATIONAL</v>
      </c>
      <c r="K1075" t="str">
        <f>"3383832"</f>
        <v>3383832</v>
      </c>
      <c r="L1075" s="2" t="str">
        <f>"pest control 180 south main"</f>
        <v>pest control 180 south main</v>
      </c>
      <c r="M1075" t="str">
        <f t="shared" si="348"/>
        <v>MFUSCO</v>
      </c>
    </row>
    <row r="1076" spans="1:13" x14ac:dyDescent="0.25">
      <c r="A1076" t="str">
        <f t="shared" si="341"/>
        <v>10</v>
      </c>
      <c r="B1076" t="str">
        <f t="shared" si="342"/>
        <v>066</v>
      </c>
      <c r="C1076" t="str">
        <f t="shared" si="343"/>
        <v>3010106</v>
      </c>
      <c r="D1076" t="str">
        <f t="shared" si="344"/>
        <v>03</v>
      </c>
      <c r="E1076" t="str">
        <f t="shared" si="346"/>
        <v>640100</v>
      </c>
      <c r="F1076" t="str">
        <f>"06/30/16"</f>
        <v>06/30/16</v>
      </c>
      <c r="G1076" t="str">
        <f>"355274128"</f>
        <v>355274128</v>
      </c>
      <c r="H1076" s="4">
        <v>30</v>
      </c>
      <c r="I1076" s="3"/>
      <c r="J1076" t="str">
        <f t="shared" si="345"/>
        <v>TERMINIX INTERNATIONAL</v>
      </c>
      <c r="K1076" t="str">
        <f>"3440288"</f>
        <v>3440288</v>
      </c>
      <c r="L1076" s="2" t="str">
        <f t="shared" ref="L1076:L1083" si="349">"PEST CONTROL SERVICES FOR 12 MONTHS-180 SOUTH MAIN ST"</f>
        <v>PEST CONTROL SERVICES FOR 12 MONTHS-180 SOUTH MAIN ST</v>
      </c>
      <c r="M1076" t="str">
        <f t="shared" si="348"/>
        <v>MFUSCO</v>
      </c>
    </row>
    <row r="1077" spans="1:13" x14ac:dyDescent="0.25">
      <c r="A1077" t="str">
        <f t="shared" si="341"/>
        <v>10</v>
      </c>
      <c r="B1077" t="str">
        <f t="shared" si="342"/>
        <v>066</v>
      </c>
      <c r="C1077" t="str">
        <f t="shared" si="343"/>
        <v>3010106</v>
      </c>
      <c r="D1077" t="str">
        <f t="shared" si="344"/>
        <v>03</v>
      </c>
      <c r="E1077" t="str">
        <f t="shared" si="346"/>
        <v>640100</v>
      </c>
      <c r="F1077" t="str">
        <f>"06/30/16"</f>
        <v>06/30/16</v>
      </c>
      <c r="G1077" t="str">
        <f>"356184450"</f>
        <v>356184450</v>
      </c>
      <c r="H1077" s="4">
        <v>30</v>
      </c>
      <c r="I1077" s="3"/>
      <c r="J1077" t="str">
        <f t="shared" si="345"/>
        <v>TERMINIX INTERNATIONAL</v>
      </c>
      <c r="K1077" t="str">
        <f>"3440288"</f>
        <v>3440288</v>
      </c>
      <c r="L1077" s="2" t="str">
        <f t="shared" si="349"/>
        <v>PEST CONTROL SERVICES FOR 12 MONTHS-180 SOUTH MAIN ST</v>
      </c>
      <c r="M1077" t="str">
        <f t="shared" si="348"/>
        <v>MFUSCO</v>
      </c>
    </row>
    <row r="1078" spans="1:13" x14ac:dyDescent="0.25">
      <c r="A1078" t="str">
        <f t="shared" si="341"/>
        <v>10</v>
      </c>
      <c r="B1078" t="str">
        <f t="shared" si="342"/>
        <v>066</v>
      </c>
      <c r="C1078" t="str">
        <f t="shared" si="343"/>
        <v>3010106</v>
      </c>
      <c r="D1078" t="str">
        <f t="shared" si="344"/>
        <v>03</v>
      </c>
      <c r="E1078" t="str">
        <f t="shared" si="346"/>
        <v>640100</v>
      </c>
      <c r="F1078" t="str">
        <f>"06/30/16"</f>
        <v>06/30/16</v>
      </c>
      <c r="G1078" t="str">
        <f>"3561845160"</f>
        <v>3561845160</v>
      </c>
      <c r="H1078" s="4">
        <v>40</v>
      </c>
      <c r="I1078" s="3"/>
      <c r="J1078" t="str">
        <f t="shared" si="345"/>
        <v>TERMINIX INTERNATIONAL</v>
      </c>
      <c r="K1078" t="str">
        <f>"3440288"</f>
        <v>3440288</v>
      </c>
      <c r="L1078" s="2" t="str">
        <f t="shared" si="349"/>
        <v>PEST CONTROL SERVICES FOR 12 MONTHS-180 SOUTH MAIN ST</v>
      </c>
      <c r="M1078" t="str">
        <f t="shared" si="348"/>
        <v>MFUSCO</v>
      </c>
    </row>
    <row r="1079" spans="1:13" x14ac:dyDescent="0.25">
      <c r="A1079" t="str">
        <f t="shared" si="341"/>
        <v>10</v>
      </c>
      <c r="B1079" t="str">
        <f t="shared" si="342"/>
        <v>066</v>
      </c>
      <c r="C1079" t="str">
        <f t="shared" si="343"/>
        <v>3010106</v>
      </c>
      <c r="D1079" t="str">
        <f t="shared" si="344"/>
        <v>03</v>
      </c>
      <c r="E1079" t="str">
        <f t="shared" si="346"/>
        <v>640100</v>
      </c>
      <c r="F1079" t="str">
        <f>"06/30/17"</f>
        <v>06/30/17</v>
      </c>
      <c r="G1079" t="str">
        <f>"365562925"</f>
        <v>365562925</v>
      </c>
      <c r="H1079" s="4">
        <v>32</v>
      </c>
      <c r="I1079" s="3"/>
      <c r="J1079" t="str">
        <f t="shared" si="345"/>
        <v>TERMINIX INTERNATIONAL</v>
      </c>
      <c r="K1079" t="str">
        <f>"3480464"</f>
        <v>3480464</v>
      </c>
      <c r="L1079" s="2" t="str">
        <f t="shared" si="349"/>
        <v>PEST CONTROL SERVICES FOR 12 MONTHS-180 SOUTH MAIN ST</v>
      </c>
      <c r="M1079" t="str">
        <f t="shared" si="348"/>
        <v>MFUSCO</v>
      </c>
    </row>
    <row r="1080" spans="1:13" x14ac:dyDescent="0.25">
      <c r="A1080" t="str">
        <f t="shared" si="341"/>
        <v>10</v>
      </c>
      <c r="B1080" t="str">
        <f t="shared" si="342"/>
        <v>066</v>
      </c>
      <c r="C1080" t="str">
        <f t="shared" si="343"/>
        <v>3010106</v>
      </c>
      <c r="D1080" t="str">
        <f t="shared" si="344"/>
        <v>03</v>
      </c>
      <c r="E1080" t="str">
        <f t="shared" si="346"/>
        <v>640100</v>
      </c>
      <c r="F1080" t="str">
        <f>"08/31/16"</f>
        <v>08/31/16</v>
      </c>
      <c r="G1080" t="str">
        <f>"356982983"</f>
        <v>356982983</v>
      </c>
      <c r="H1080" s="4">
        <v>30</v>
      </c>
      <c r="I1080" s="3"/>
      <c r="J1080" t="str">
        <f t="shared" si="345"/>
        <v>TERMINIX INTERNATIONAL</v>
      </c>
      <c r="K1080" t="str">
        <f>"3480464"</f>
        <v>3480464</v>
      </c>
      <c r="L1080" s="2" t="str">
        <f t="shared" si="349"/>
        <v>PEST CONTROL SERVICES FOR 12 MONTHS-180 SOUTH MAIN ST</v>
      </c>
      <c r="M1080" t="str">
        <f t="shared" si="348"/>
        <v>MFUSCO</v>
      </c>
    </row>
    <row r="1081" spans="1:13" x14ac:dyDescent="0.25">
      <c r="A1081" t="str">
        <f t="shared" si="341"/>
        <v>10</v>
      </c>
      <c r="B1081" t="str">
        <f t="shared" si="342"/>
        <v>066</v>
      </c>
      <c r="C1081" t="str">
        <f t="shared" si="343"/>
        <v>3010106</v>
      </c>
      <c r="D1081" t="str">
        <f t="shared" si="344"/>
        <v>03</v>
      </c>
      <c r="E1081" t="str">
        <f t="shared" si="346"/>
        <v>640100</v>
      </c>
      <c r="F1081" t="str">
        <f>"09/30/16"</f>
        <v>09/30/16</v>
      </c>
      <c r="G1081" t="str">
        <f>"357924138"</f>
        <v>357924138</v>
      </c>
      <c r="H1081" s="4">
        <v>30</v>
      </c>
      <c r="I1081" s="3"/>
      <c r="J1081" t="str">
        <f t="shared" si="345"/>
        <v>TERMINIX INTERNATIONAL</v>
      </c>
      <c r="K1081" t="str">
        <f>"3480464"</f>
        <v>3480464</v>
      </c>
      <c r="L1081" s="2" t="str">
        <f t="shared" si="349"/>
        <v>PEST CONTROL SERVICES FOR 12 MONTHS-180 SOUTH MAIN ST</v>
      </c>
      <c r="M1081" t="str">
        <f t="shared" si="348"/>
        <v>MFUSCO</v>
      </c>
    </row>
    <row r="1082" spans="1:13" x14ac:dyDescent="0.25">
      <c r="A1082" t="str">
        <f t="shared" si="341"/>
        <v>10</v>
      </c>
      <c r="B1082" t="str">
        <f t="shared" si="342"/>
        <v>066</v>
      </c>
      <c r="C1082" t="str">
        <f t="shared" si="343"/>
        <v>3010106</v>
      </c>
      <c r="D1082" t="str">
        <f t="shared" si="344"/>
        <v>03</v>
      </c>
      <c r="E1082" t="str">
        <f t="shared" si="346"/>
        <v>640100</v>
      </c>
      <c r="F1082" t="str">
        <f>"10/31/16"</f>
        <v>10/31/16</v>
      </c>
      <c r="G1082" t="str">
        <f>"358727054"</f>
        <v>358727054</v>
      </c>
      <c r="H1082" s="4">
        <v>30</v>
      </c>
      <c r="I1082" s="3"/>
      <c r="J1082" t="str">
        <f t="shared" si="345"/>
        <v>TERMINIX INTERNATIONAL</v>
      </c>
      <c r="K1082" t="str">
        <f>"3480464"</f>
        <v>3480464</v>
      </c>
      <c r="L1082" s="2" t="str">
        <f t="shared" si="349"/>
        <v>PEST CONTROL SERVICES FOR 12 MONTHS-180 SOUTH MAIN ST</v>
      </c>
      <c r="M1082" t="str">
        <f t="shared" si="348"/>
        <v>MFUSCO</v>
      </c>
    </row>
    <row r="1083" spans="1:13" x14ac:dyDescent="0.25">
      <c r="A1083" t="str">
        <f t="shared" si="341"/>
        <v>10</v>
      </c>
      <c r="B1083" t="str">
        <f t="shared" si="342"/>
        <v>066</v>
      </c>
      <c r="C1083" t="str">
        <f t="shared" si="343"/>
        <v>3010106</v>
      </c>
      <c r="D1083" t="str">
        <f t="shared" si="344"/>
        <v>03</v>
      </c>
      <c r="E1083" t="str">
        <f t="shared" si="346"/>
        <v>640100</v>
      </c>
      <c r="F1083" t="str">
        <f>"11/30/14"</f>
        <v>11/30/14</v>
      </c>
      <c r="G1083" t="str">
        <f>"337855740"</f>
        <v>337855740</v>
      </c>
      <c r="H1083" s="4">
        <v>30</v>
      </c>
      <c r="I1083" s="3"/>
      <c r="J1083" t="str">
        <f t="shared" si="345"/>
        <v>TERMINIX INTERNATIONAL</v>
      </c>
      <c r="K1083" t="str">
        <f>"3401773"</f>
        <v>3401773</v>
      </c>
      <c r="L1083" s="2" t="str">
        <f t="shared" si="349"/>
        <v>PEST CONTROL SERVICES FOR 12 MONTHS-180 SOUTH MAIN ST</v>
      </c>
      <c r="M1083" t="str">
        <f t="shared" si="348"/>
        <v>MFUSCO</v>
      </c>
    </row>
    <row r="1084" spans="1:13" x14ac:dyDescent="0.25">
      <c r="A1084" t="str">
        <f t="shared" si="341"/>
        <v>10</v>
      </c>
      <c r="B1084" t="str">
        <f t="shared" si="342"/>
        <v>066</v>
      </c>
      <c r="C1084" t="str">
        <f t="shared" si="343"/>
        <v>3010106</v>
      </c>
      <c r="D1084" t="str">
        <f t="shared" si="344"/>
        <v>03</v>
      </c>
      <c r="E1084" t="str">
        <f t="shared" si="346"/>
        <v>640100</v>
      </c>
      <c r="F1084" t="str">
        <f>"11/30/14"</f>
        <v>11/30/14</v>
      </c>
      <c r="G1084" t="str">
        <f>"339410989"</f>
        <v>339410989</v>
      </c>
      <c r="H1084" s="4">
        <v>30</v>
      </c>
      <c r="I1084" s="3"/>
      <c r="J1084" t="str">
        <f t="shared" si="345"/>
        <v>TERMINIX INTERNATIONAL</v>
      </c>
      <c r="K1084" t="str">
        <f>"3383832"</f>
        <v>3383832</v>
      </c>
      <c r="L1084" s="2" t="str">
        <f>"pest control 180 south main"</f>
        <v>pest control 180 south main</v>
      </c>
      <c r="M1084" t="str">
        <f t="shared" si="348"/>
        <v>MFUSCO</v>
      </c>
    </row>
    <row r="1085" spans="1:13" x14ac:dyDescent="0.25">
      <c r="A1085" t="str">
        <f t="shared" si="341"/>
        <v>10</v>
      </c>
      <c r="B1085" t="str">
        <f t="shared" si="342"/>
        <v>066</v>
      </c>
      <c r="C1085" t="str">
        <f t="shared" si="343"/>
        <v>3010106</v>
      </c>
      <c r="D1085" t="str">
        <f t="shared" si="344"/>
        <v>03</v>
      </c>
      <c r="E1085" t="str">
        <f t="shared" si="346"/>
        <v>640100</v>
      </c>
      <c r="F1085" t="str">
        <f>"11/30/16"</f>
        <v>11/30/16</v>
      </c>
      <c r="G1085" t="str">
        <f>"359353880"</f>
        <v>359353880</v>
      </c>
      <c r="H1085" s="4">
        <v>30</v>
      </c>
      <c r="I1085" s="3"/>
      <c r="J1085" t="str">
        <f t="shared" si="345"/>
        <v>TERMINIX INTERNATIONAL</v>
      </c>
      <c r="K1085" t="str">
        <f>"3480464"</f>
        <v>3480464</v>
      </c>
      <c r="L1085" s="2" t="str">
        <f>"PEST CONTROL SERVICES FOR 12 MONTHS-180 SOUTH MAIN ST"</f>
        <v>PEST CONTROL SERVICES FOR 12 MONTHS-180 SOUTH MAIN ST</v>
      </c>
      <c r="M1085" t="str">
        <f t="shared" si="348"/>
        <v>MFUSCO</v>
      </c>
    </row>
    <row r="1086" spans="1:13" x14ac:dyDescent="0.25">
      <c r="A1086" t="str">
        <f t="shared" si="341"/>
        <v>10</v>
      </c>
      <c r="B1086" t="str">
        <f t="shared" si="342"/>
        <v>066</v>
      </c>
      <c r="C1086" t="str">
        <f t="shared" si="343"/>
        <v>3010106</v>
      </c>
      <c r="D1086" t="str">
        <f t="shared" si="344"/>
        <v>03</v>
      </c>
      <c r="E1086" t="str">
        <f t="shared" si="346"/>
        <v>640100</v>
      </c>
      <c r="F1086" t="str">
        <f>"12/31/15"</f>
        <v>12/31/15</v>
      </c>
      <c r="G1086" t="str">
        <f>"0347145460"</f>
        <v>0347145460</v>
      </c>
      <c r="H1086" s="4">
        <v>30</v>
      </c>
      <c r="I1086" s="3"/>
      <c r="J1086" t="str">
        <f t="shared" si="345"/>
        <v>TERMINIX INTERNATIONAL</v>
      </c>
      <c r="K1086" t="str">
        <f>"3440288"</f>
        <v>3440288</v>
      </c>
      <c r="L1086" s="2" t="str">
        <f>"PEST CONTROL SERVICES FOR 12 MONTHS-180 SOUTH MAIN ST"</f>
        <v>PEST CONTROL SERVICES FOR 12 MONTHS-180 SOUTH MAIN ST</v>
      </c>
      <c r="M1086" t="str">
        <f t="shared" si="348"/>
        <v>MFUSCO</v>
      </c>
    </row>
    <row r="1087" spans="1:13" x14ac:dyDescent="0.25">
      <c r="A1087" t="str">
        <f t="shared" si="341"/>
        <v>10</v>
      </c>
      <c r="B1087" t="str">
        <f t="shared" si="342"/>
        <v>066</v>
      </c>
      <c r="C1087" t="str">
        <f t="shared" si="343"/>
        <v>3010106</v>
      </c>
      <c r="D1087" t="str">
        <f t="shared" si="344"/>
        <v>03</v>
      </c>
      <c r="E1087" t="str">
        <f t="shared" si="346"/>
        <v>640100</v>
      </c>
      <c r="F1087" t="str">
        <f>"12/31/15"</f>
        <v>12/31/15</v>
      </c>
      <c r="G1087" t="str">
        <f>"0347985379"</f>
        <v>0347985379</v>
      </c>
      <c r="H1087" s="3">
        <v>30</v>
      </c>
      <c r="I1087" s="3"/>
      <c r="J1087" t="str">
        <f t="shared" si="345"/>
        <v>TERMINIX INTERNATIONAL</v>
      </c>
      <c r="K1087" t="str">
        <f>"3440288"</f>
        <v>3440288</v>
      </c>
      <c r="L1087" s="2" t="str">
        <f>"PEST CONTROL SERVICES FOR 12 MONTHS-180 SOUTH MAIN ST"</f>
        <v>PEST CONTROL SERVICES FOR 12 MONTHS-180 SOUTH MAIN ST</v>
      </c>
      <c r="M1087" t="str">
        <f t="shared" si="348"/>
        <v>MFUSCO</v>
      </c>
    </row>
    <row r="1088" spans="1:13" x14ac:dyDescent="0.25">
      <c r="A1088" t="str">
        <f t="shared" si="341"/>
        <v>10</v>
      </c>
      <c r="B1088" t="str">
        <f t="shared" si="342"/>
        <v>066</v>
      </c>
      <c r="C1088" t="str">
        <f t="shared" si="343"/>
        <v>3010106</v>
      </c>
      <c r="D1088" t="str">
        <f t="shared" si="344"/>
        <v>03</v>
      </c>
      <c r="E1088" t="str">
        <f t="shared" si="346"/>
        <v>640100</v>
      </c>
      <c r="F1088" t="str">
        <f>"12/31/15"</f>
        <v>12/31/15</v>
      </c>
      <c r="G1088" t="str">
        <f>"349651418"</f>
        <v>349651418</v>
      </c>
      <c r="H1088" s="3">
        <v>30</v>
      </c>
      <c r="I1088" s="3"/>
      <c r="J1088" t="str">
        <f t="shared" si="345"/>
        <v>TERMINIX INTERNATIONAL</v>
      </c>
      <c r="K1088" t="str">
        <f>"3440288"</f>
        <v>3440288</v>
      </c>
      <c r="L1088" s="2" t="str">
        <f>"PEST CONTROL SERVICES FOR 12 MONTHS-180 SOUTH MAIN ST"</f>
        <v>PEST CONTROL SERVICES FOR 12 MONTHS-180 SOUTH MAIN ST</v>
      </c>
      <c r="M1088" t="str">
        <f t="shared" si="348"/>
        <v>MFUSCO</v>
      </c>
    </row>
    <row r="1089" spans="1:13" x14ac:dyDescent="0.25">
      <c r="H1089" s="6">
        <f>SUM(H1058:H1088)</f>
        <v>948</v>
      </c>
      <c r="I1089" s="6">
        <f>SUM(H1058:H1088)</f>
        <v>948</v>
      </c>
      <c r="L1089" s="2"/>
      <c r="M1089" t="str">
        <f t="shared" si="348"/>
        <v>MFUSCO</v>
      </c>
    </row>
    <row r="1090" spans="1:13" x14ac:dyDescent="0.25">
      <c r="H1090" s="3"/>
      <c r="I1090" s="3"/>
      <c r="L1090" s="2"/>
    </row>
    <row r="1091" spans="1:13" x14ac:dyDescent="0.25">
      <c r="A1091" t="str">
        <f t="shared" ref="A1091:A1118" si="350">"10"</f>
        <v>10</v>
      </c>
      <c r="B1091" t="str">
        <f t="shared" ref="B1091:B1118" si="351">"066"</f>
        <v>066</v>
      </c>
      <c r="C1091" t="str">
        <f t="shared" ref="C1091:C1118" si="352">"3010106"</f>
        <v>3010106</v>
      </c>
      <c r="D1091" t="str">
        <f t="shared" ref="D1091:D1118" si="353">"03"</f>
        <v>03</v>
      </c>
      <c r="E1091" t="str">
        <f t="shared" ref="E1091:E1118" si="354">"640100"</f>
        <v>640100</v>
      </c>
      <c r="F1091" t="str">
        <f>"01/31/15"</f>
        <v>01/31/15</v>
      </c>
      <c r="G1091" t="str">
        <f>"3001525608"</f>
        <v>3001525608</v>
      </c>
      <c r="H1091" s="3">
        <v>150</v>
      </c>
      <c r="I1091" s="3"/>
      <c r="J1091" t="str">
        <f t="shared" ref="J1091:J1118" si="355">"THYSSENKRUPP ELEVATOR INC"</f>
        <v>THYSSENKRUPP ELEVATOR INC</v>
      </c>
      <c r="K1091" t="str">
        <f>"3382995"</f>
        <v>3382995</v>
      </c>
      <c r="L1091" s="2" t="str">
        <f>"# month elevator service and annual inspection at 180"</f>
        <v># month elevator service and annual inspection at 180</v>
      </c>
    </row>
    <row r="1092" spans="1:13" x14ac:dyDescent="0.25">
      <c r="A1092" t="str">
        <f t="shared" si="350"/>
        <v>10</v>
      </c>
      <c r="B1092" t="str">
        <f t="shared" si="351"/>
        <v>066</v>
      </c>
      <c r="C1092" t="str">
        <f t="shared" si="352"/>
        <v>3010106</v>
      </c>
      <c r="D1092" t="str">
        <f t="shared" si="353"/>
        <v>03</v>
      </c>
      <c r="E1092" t="str">
        <f t="shared" si="354"/>
        <v>640100</v>
      </c>
      <c r="F1092" t="str">
        <f>"02/28/15"</f>
        <v>02/28/15</v>
      </c>
      <c r="G1092" t="str">
        <f>"3001563220"</f>
        <v>3001563220</v>
      </c>
      <c r="H1092" s="3">
        <v>150</v>
      </c>
      <c r="I1092" s="3"/>
      <c r="J1092" t="str">
        <f t="shared" si="355"/>
        <v>THYSSENKRUPP ELEVATOR INC</v>
      </c>
      <c r="K1092" t="str">
        <f>"3382995"</f>
        <v>3382995</v>
      </c>
      <c r="L1092" s="2" t="str">
        <f>"# month elevator service and annual inspection at 180"</f>
        <v># month elevator service and annual inspection at 180</v>
      </c>
      <c r="M1092" t="str">
        <f t="shared" ref="M1092:M1119" si="356">"SVALLANT"</f>
        <v>SVALLANT</v>
      </c>
    </row>
    <row r="1093" spans="1:13" x14ac:dyDescent="0.25">
      <c r="A1093" t="str">
        <f t="shared" si="350"/>
        <v>10</v>
      </c>
      <c r="B1093" t="str">
        <f t="shared" si="351"/>
        <v>066</v>
      </c>
      <c r="C1093" t="str">
        <f t="shared" si="352"/>
        <v>3010106</v>
      </c>
      <c r="D1093" t="str">
        <f t="shared" si="353"/>
        <v>03</v>
      </c>
      <c r="E1093" t="str">
        <f t="shared" si="354"/>
        <v>640100</v>
      </c>
      <c r="F1093" t="str">
        <f>"02/29/16"</f>
        <v>02/29/16</v>
      </c>
      <c r="G1093" t="str">
        <f>"3002275602"</f>
        <v>3002275602</v>
      </c>
      <c r="H1093" s="3">
        <v>150</v>
      </c>
      <c r="I1093" s="3"/>
      <c r="J1093" t="str">
        <f t="shared" si="355"/>
        <v>THYSSENKRUPP ELEVATOR INC</v>
      </c>
      <c r="K1093" t="str">
        <f>"3433369"</f>
        <v>3433369</v>
      </c>
      <c r="L1093" s="2" t="str">
        <f>"MONTHLY ELEVATOR MAINTENANCE SERVICE AT 180 SOUTH MAIN STREET"</f>
        <v>MONTHLY ELEVATOR MAINTENANCE SERVICE AT 180 SOUTH MAIN STREET</v>
      </c>
      <c r="M1093" t="str">
        <f t="shared" si="356"/>
        <v>SVALLANT</v>
      </c>
    </row>
    <row r="1094" spans="1:13" x14ac:dyDescent="0.25">
      <c r="A1094" t="str">
        <f t="shared" si="350"/>
        <v>10</v>
      </c>
      <c r="B1094" t="str">
        <f t="shared" si="351"/>
        <v>066</v>
      </c>
      <c r="C1094" t="str">
        <f t="shared" si="352"/>
        <v>3010106</v>
      </c>
      <c r="D1094" t="str">
        <f t="shared" si="353"/>
        <v>03</v>
      </c>
      <c r="E1094" t="str">
        <f t="shared" si="354"/>
        <v>640100</v>
      </c>
      <c r="F1094" t="str">
        <f>"02/29/16"</f>
        <v>02/29/16</v>
      </c>
      <c r="G1094" t="str">
        <f>"3002345367"</f>
        <v>3002345367</v>
      </c>
      <c r="H1094" s="3">
        <v>150</v>
      </c>
      <c r="I1094" s="3"/>
      <c r="J1094" t="str">
        <f t="shared" si="355"/>
        <v>THYSSENKRUPP ELEVATOR INC</v>
      </c>
      <c r="K1094" t="str">
        <f>"3433369"</f>
        <v>3433369</v>
      </c>
      <c r="L1094" s="2" t="str">
        <f>"MONTHLY ELEVATOR MAINTENANCE SERVICE AT 180 SOUTH MAIN STREET"</f>
        <v>MONTHLY ELEVATOR MAINTENANCE SERVICE AT 180 SOUTH MAIN STREET</v>
      </c>
      <c r="M1094" t="str">
        <f t="shared" si="356"/>
        <v>SVALLANT</v>
      </c>
    </row>
    <row r="1095" spans="1:13" x14ac:dyDescent="0.25">
      <c r="A1095" t="str">
        <f t="shared" si="350"/>
        <v>10</v>
      </c>
      <c r="B1095" t="str">
        <f t="shared" si="351"/>
        <v>066</v>
      </c>
      <c r="C1095" t="str">
        <f t="shared" si="352"/>
        <v>3010106</v>
      </c>
      <c r="D1095" t="str">
        <f t="shared" si="353"/>
        <v>03</v>
      </c>
      <c r="E1095" t="str">
        <f t="shared" si="354"/>
        <v>640100</v>
      </c>
      <c r="F1095" t="str">
        <f>"03/31/16"</f>
        <v>03/31/16</v>
      </c>
      <c r="G1095" t="str">
        <f>"3002413276"</f>
        <v>3002413276</v>
      </c>
      <c r="H1095" s="3">
        <v>150</v>
      </c>
      <c r="I1095" s="3"/>
      <c r="J1095" t="str">
        <f t="shared" si="355"/>
        <v>THYSSENKRUPP ELEVATOR INC</v>
      </c>
      <c r="K1095" t="str">
        <f>"3458268"</f>
        <v>3458268</v>
      </c>
      <c r="L1095" s="2" t="str">
        <f>"MONTHLY ELEVATOR MAINTENANCE SERVICE AT 180 SOUTH MAIN STREET"</f>
        <v>MONTHLY ELEVATOR MAINTENANCE SERVICE AT 180 SOUTH MAIN STREET</v>
      </c>
      <c r="M1095" t="str">
        <f t="shared" si="356"/>
        <v>SVALLANT</v>
      </c>
    </row>
    <row r="1096" spans="1:13" x14ac:dyDescent="0.25">
      <c r="A1096" t="str">
        <f t="shared" si="350"/>
        <v>10</v>
      </c>
      <c r="B1096" t="str">
        <f t="shared" si="351"/>
        <v>066</v>
      </c>
      <c r="C1096" t="str">
        <f t="shared" si="352"/>
        <v>3010106</v>
      </c>
      <c r="D1096" t="str">
        <f t="shared" si="353"/>
        <v>03</v>
      </c>
      <c r="E1096" t="str">
        <f t="shared" si="354"/>
        <v>640100</v>
      </c>
      <c r="F1096" t="str">
        <f>"03/31/16"</f>
        <v>03/31/16</v>
      </c>
      <c r="G1096" t="str">
        <f>"APPLICATION #2"</f>
        <v>APPLICATION #2</v>
      </c>
      <c r="H1096" s="3">
        <v>57235.839999999997</v>
      </c>
      <c r="I1096" s="3"/>
      <c r="J1096" t="str">
        <f t="shared" si="355"/>
        <v>THYSSENKRUPP ELEVATOR INC</v>
      </c>
      <c r="K1096" t="str">
        <f>"3434590"</f>
        <v>3434590</v>
      </c>
      <c r="L1096" s="2" t="str">
        <f>"ELEVATOR MODERNIZATION AT 180 SOUTH MAIN STREET, PROVIDENCE, RI 02903"</f>
        <v>ELEVATOR MODERNIZATION AT 180 SOUTH MAIN STREET, PROVIDENCE, RI 02903</v>
      </c>
      <c r="M1096" t="str">
        <f t="shared" si="356"/>
        <v>SVALLANT</v>
      </c>
    </row>
    <row r="1097" spans="1:13" x14ac:dyDescent="0.25">
      <c r="A1097" t="str">
        <f t="shared" si="350"/>
        <v>10</v>
      </c>
      <c r="B1097" t="str">
        <f t="shared" si="351"/>
        <v>066</v>
      </c>
      <c r="C1097" t="str">
        <f t="shared" si="352"/>
        <v>3010106</v>
      </c>
      <c r="D1097" t="str">
        <f t="shared" si="353"/>
        <v>03</v>
      </c>
      <c r="E1097" t="str">
        <f t="shared" si="354"/>
        <v>640100</v>
      </c>
      <c r="F1097" t="str">
        <f>"04/30/15"</f>
        <v>04/30/15</v>
      </c>
      <c r="G1097" t="str">
        <f>"3001708392"</f>
        <v>3001708392</v>
      </c>
      <c r="H1097" s="3">
        <v>150</v>
      </c>
      <c r="I1097" s="3"/>
      <c r="J1097" t="str">
        <f t="shared" si="355"/>
        <v>THYSSENKRUPP ELEVATOR INC</v>
      </c>
      <c r="K1097" t="str">
        <f>"3415914"</f>
        <v>3415914</v>
      </c>
      <c r="L1097" s="2" t="str">
        <f>"elevator service"</f>
        <v>elevator service</v>
      </c>
      <c r="M1097" t="str">
        <f t="shared" si="356"/>
        <v>SVALLANT</v>
      </c>
    </row>
    <row r="1098" spans="1:13" x14ac:dyDescent="0.25">
      <c r="A1098" t="str">
        <f t="shared" si="350"/>
        <v>10</v>
      </c>
      <c r="B1098" t="str">
        <f t="shared" si="351"/>
        <v>066</v>
      </c>
      <c r="C1098" t="str">
        <f t="shared" si="352"/>
        <v>3010106</v>
      </c>
      <c r="D1098" t="str">
        <f t="shared" si="353"/>
        <v>03</v>
      </c>
      <c r="E1098" t="str">
        <f t="shared" si="354"/>
        <v>640100</v>
      </c>
      <c r="F1098" t="str">
        <f>"04/30/15"</f>
        <v>04/30/15</v>
      </c>
      <c r="G1098" t="str">
        <f>"3001735053"</f>
        <v>3001735053</v>
      </c>
      <c r="H1098" s="3">
        <v>150</v>
      </c>
      <c r="I1098" s="3"/>
      <c r="J1098" t="str">
        <f t="shared" si="355"/>
        <v>THYSSENKRUPP ELEVATOR INC</v>
      </c>
      <c r="K1098" t="str">
        <f>"3415914"</f>
        <v>3415914</v>
      </c>
      <c r="L1098" s="2" t="str">
        <f>"elevator service"</f>
        <v>elevator service</v>
      </c>
      <c r="M1098" t="str">
        <f t="shared" si="356"/>
        <v>SVALLANT</v>
      </c>
    </row>
    <row r="1099" spans="1:13" x14ac:dyDescent="0.25">
      <c r="A1099" t="str">
        <f t="shared" si="350"/>
        <v>10</v>
      </c>
      <c r="B1099" t="str">
        <f t="shared" si="351"/>
        <v>066</v>
      </c>
      <c r="C1099" t="str">
        <f t="shared" si="352"/>
        <v>3010106</v>
      </c>
      <c r="D1099" t="str">
        <f t="shared" si="353"/>
        <v>03</v>
      </c>
      <c r="E1099" t="str">
        <f t="shared" si="354"/>
        <v>640100</v>
      </c>
      <c r="F1099" t="str">
        <f>"05/31/17"</f>
        <v>05/31/17</v>
      </c>
      <c r="G1099" t="str">
        <f>"APPLICATION #3"</f>
        <v>APPLICATION #3</v>
      </c>
      <c r="H1099" s="3">
        <v>4016.55</v>
      </c>
      <c r="I1099" s="3"/>
      <c r="J1099" t="str">
        <f t="shared" si="355"/>
        <v>THYSSENKRUPP ELEVATOR INC</v>
      </c>
      <c r="K1099" t="str">
        <f>"3515715"</f>
        <v>3515715</v>
      </c>
      <c r="L1099" s="2" t="str">
        <f>"ELEVATOR MODERNIZATION AT 180 SOUTH MAIN STREET, PROVIDENCE, RI 02903"</f>
        <v>ELEVATOR MODERNIZATION AT 180 SOUTH MAIN STREET, PROVIDENCE, RI 02903</v>
      </c>
      <c r="M1099" t="str">
        <f t="shared" si="356"/>
        <v>SVALLANT</v>
      </c>
    </row>
    <row r="1100" spans="1:13" x14ac:dyDescent="0.25">
      <c r="A1100" t="str">
        <f t="shared" si="350"/>
        <v>10</v>
      </c>
      <c r="B1100" t="str">
        <f t="shared" si="351"/>
        <v>066</v>
      </c>
      <c r="C1100" t="str">
        <f t="shared" si="352"/>
        <v>3010106</v>
      </c>
      <c r="D1100" t="str">
        <f t="shared" si="353"/>
        <v>03</v>
      </c>
      <c r="E1100" t="str">
        <f t="shared" si="354"/>
        <v>640100</v>
      </c>
      <c r="F1100" t="str">
        <f>"06/30/15"</f>
        <v>06/30/15</v>
      </c>
      <c r="G1100" t="str">
        <f>"3001811769"</f>
        <v>3001811769</v>
      </c>
      <c r="H1100" s="3">
        <v>150</v>
      </c>
      <c r="I1100" s="3"/>
      <c r="J1100" t="str">
        <f t="shared" si="355"/>
        <v>THYSSENKRUPP ELEVATOR INC</v>
      </c>
      <c r="K1100" t="str">
        <f>"3415914"</f>
        <v>3415914</v>
      </c>
      <c r="L1100" s="2" t="str">
        <f>"elevator service"</f>
        <v>elevator service</v>
      </c>
      <c r="M1100" t="str">
        <f t="shared" si="356"/>
        <v>SVALLANT</v>
      </c>
    </row>
    <row r="1101" spans="1:13" x14ac:dyDescent="0.25">
      <c r="A1101" t="str">
        <f t="shared" si="350"/>
        <v>10</v>
      </c>
      <c r="B1101" t="str">
        <f t="shared" si="351"/>
        <v>066</v>
      </c>
      <c r="C1101" t="str">
        <f t="shared" si="352"/>
        <v>3010106</v>
      </c>
      <c r="D1101" t="str">
        <f t="shared" si="353"/>
        <v>03</v>
      </c>
      <c r="E1101" t="str">
        <f t="shared" si="354"/>
        <v>640100</v>
      </c>
      <c r="F1101" t="str">
        <f>"06/30/15"</f>
        <v>06/30/15</v>
      </c>
      <c r="G1101" t="str">
        <f>"3001873335"</f>
        <v>3001873335</v>
      </c>
      <c r="H1101" s="3">
        <v>150</v>
      </c>
      <c r="I1101" s="3"/>
      <c r="J1101" t="str">
        <f t="shared" si="355"/>
        <v>THYSSENKRUPP ELEVATOR INC</v>
      </c>
      <c r="K1101" t="str">
        <f>"3415914"</f>
        <v>3415914</v>
      </c>
      <c r="L1101" s="2" t="str">
        <f>"elevator service"</f>
        <v>elevator service</v>
      </c>
      <c r="M1101" t="str">
        <f t="shared" si="356"/>
        <v>SVALLANT</v>
      </c>
    </row>
    <row r="1102" spans="1:13" x14ac:dyDescent="0.25">
      <c r="A1102" t="str">
        <f t="shared" si="350"/>
        <v>10</v>
      </c>
      <c r="B1102" t="str">
        <f t="shared" si="351"/>
        <v>066</v>
      </c>
      <c r="C1102" t="str">
        <f t="shared" si="352"/>
        <v>3010106</v>
      </c>
      <c r="D1102" t="str">
        <f t="shared" si="353"/>
        <v>03</v>
      </c>
      <c r="E1102" t="str">
        <f t="shared" si="354"/>
        <v>640100</v>
      </c>
      <c r="F1102" t="str">
        <f>"07/31/14"</f>
        <v>07/31/14</v>
      </c>
      <c r="G1102" t="str">
        <f>"301195947"</f>
        <v>301195947</v>
      </c>
      <c r="H1102" s="3">
        <v>150</v>
      </c>
      <c r="I1102" s="3"/>
      <c r="J1102" t="str">
        <f t="shared" si="355"/>
        <v>THYSSENKRUPP ELEVATOR INC</v>
      </c>
      <c r="K1102" t="str">
        <f>"3382995"</f>
        <v>3382995</v>
      </c>
      <c r="L1102" s="2" t="str">
        <f>"# month elevator service and annual inspection at 180"</f>
        <v># month elevator service and annual inspection at 180</v>
      </c>
      <c r="M1102" t="str">
        <f t="shared" si="356"/>
        <v>SVALLANT</v>
      </c>
    </row>
    <row r="1103" spans="1:13" x14ac:dyDescent="0.25">
      <c r="A1103" t="str">
        <f t="shared" si="350"/>
        <v>10</v>
      </c>
      <c r="B1103" t="str">
        <f t="shared" si="351"/>
        <v>066</v>
      </c>
      <c r="C1103" t="str">
        <f t="shared" si="352"/>
        <v>3010106</v>
      </c>
      <c r="D1103" t="str">
        <f t="shared" si="353"/>
        <v>03</v>
      </c>
      <c r="E1103" t="str">
        <f t="shared" si="354"/>
        <v>640100</v>
      </c>
      <c r="F1103" t="str">
        <f>"08/31/14"</f>
        <v>08/31/14</v>
      </c>
      <c r="G1103" t="str">
        <f>"3001221847"</f>
        <v>3001221847</v>
      </c>
      <c r="H1103" s="3">
        <v>150</v>
      </c>
      <c r="I1103" s="3"/>
      <c r="J1103" t="str">
        <f t="shared" si="355"/>
        <v>THYSSENKRUPP ELEVATOR INC</v>
      </c>
      <c r="K1103" t="str">
        <f>"3382995"</f>
        <v>3382995</v>
      </c>
      <c r="L1103" s="2" t="str">
        <f>"# month elevator service and annual inspection at 180"</f>
        <v># month elevator service and annual inspection at 180</v>
      </c>
      <c r="M1103" t="str">
        <f t="shared" si="356"/>
        <v>SVALLANT</v>
      </c>
    </row>
    <row r="1104" spans="1:13" x14ac:dyDescent="0.25">
      <c r="A1104" t="str">
        <f t="shared" si="350"/>
        <v>10</v>
      </c>
      <c r="B1104" t="str">
        <f t="shared" si="351"/>
        <v>066</v>
      </c>
      <c r="C1104" t="str">
        <f t="shared" si="352"/>
        <v>3010106</v>
      </c>
      <c r="D1104" t="str">
        <f t="shared" si="353"/>
        <v>03</v>
      </c>
      <c r="E1104" t="str">
        <f t="shared" si="354"/>
        <v>640100</v>
      </c>
      <c r="F1104" t="str">
        <f>"08/31/14"</f>
        <v>08/31/14</v>
      </c>
      <c r="G1104" t="str">
        <f>"6000084654"</f>
        <v>6000084654</v>
      </c>
      <c r="H1104" s="4">
        <v>900</v>
      </c>
      <c r="I1104" s="3"/>
      <c r="J1104" t="str">
        <f t="shared" si="355"/>
        <v>THYSSENKRUPP ELEVATOR INC</v>
      </c>
      <c r="K1104" t="str">
        <f>"3382995"</f>
        <v>3382995</v>
      </c>
      <c r="L1104" s="2" t="str">
        <f>"# month elevator service and annual inspection at 180"</f>
        <v># month elevator service and annual inspection at 180</v>
      </c>
      <c r="M1104" t="str">
        <f t="shared" si="356"/>
        <v>SVALLANT</v>
      </c>
    </row>
    <row r="1105" spans="1:13" x14ac:dyDescent="0.25">
      <c r="A1105" t="str">
        <f t="shared" si="350"/>
        <v>10</v>
      </c>
      <c r="B1105" t="str">
        <f t="shared" si="351"/>
        <v>066</v>
      </c>
      <c r="C1105" t="str">
        <f t="shared" si="352"/>
        <v>3010106</v>
      </c>
      <c r="D1105" t="str">
        <f t="shared" si="353"/>
        <v>03</v>
      </c>
      <c r="E1105" t="str">
        <f t="shared" si="354"/>
        <v>640100</v>
      </c>
      <c r="F1105" t="str">
        <f>"08/31/15"</f>
        <v>08/31/15</v>
      </c>
      <c r="G1105" t="str">
        <f>"3001915604"</f>
        <v>3001915604</v>
      </c>
      <c r="H1105" s="4">
        <v>154.88</v>
      </c>
      <c r="I1105" s="3"/>
      <c r="J1105" t="str">
        <f t="shared" si="355"/>
        <v>THYSSENKRUPP ELEVATOR INC</v>
      </c>
      <c r="K1105" t="str">
        <f>"3433369"</f>
        <v>3433369</v>
      </c>
      <c r="L1105" s="2" t="str">
        <f>"MONTHLY ELEVATOR MAINTENANCE SERVICE AT 180 SOUTH MAIN STREET"</f>
        <v>MONTHLY ELEVATOR MAINTENANCE SERVICE AT 180 SOUTH MAIN STREET</v>
      </c>
      <c r="M1105" t="str">
        <f t="shared" si="356"/>
        <v>SVALLANT</v>
      </c>
    </row>
    <row r="1106" spans="1:13" x14ac:dyDescent="0.25">
      <c r="A1106" t="str">
        <f t="shared" si="350"/>
        <v>10</v>
      </c>
      <c r="B1106" t="str">
        <f t="shared" si="351"/>
        <v>066</v>
      </c>
      <c r="C1106" t="str">
        <f t="shared" si="352"/>
        <v>3010106</v>
      </c>
      <c r="D1106" t="str">
        <f t="shared" si="353"/>
        <v>03</v>
      </c>
      <c r="E1106" t="str">
        <f t="shared" si="354"/>
        <v>640100</v>
      </c>
      <c r="F1106" t="str">
        <f>"09/30/14"</f>
        <v>09/30/14</v>
      </c>
      <c r="G1106" t="str">
        <f>"3001265103"</f>
        <v>3001265103</v>
      </c>
      <c r="H1106" s="4">
        <v>150</v>
      </c>
      <c r="I1106" s="3"/>
      <c r="J1106" t="str">
        <f t="shared" si="355"/>
        <v>THYSSENKRUPP ELEVATOR INC</v>
      </c>
      <c r="K1106" t="str">
        <f>"3382995"</f>
        <v>3382995</v>
      </c>
      <c r="L1106" s="2" t="str">
        <f>"# month elevator service and annual inspection at 180"</f>
        <v># month elevator service and annual inspection at 180</v>
      </c>
      <c r="M1106" t="str">
        <f t="shared" si="356"/>
        <v>SVALLANT</v>
      </c>
    </row>
    <row r="1107" spans="1:13" x14ac:dyDescent="0.25">
      <c r="A1107" t="str">
        <f t="shared" si="350"/>
        <v>10</v>
      </c>
      <c r="B1107" t="str">
        <f t="shared" si="351"/>
        <v>066</v>
      </c>
      <c r="C1107" t="str">
        <f t="shared" si="352"/>
        <v>3010106</v>
      </c>
      <c r="D1107" t="str">
        <f t="shared" si="353"/>
        <v>03</v>
      </c>
      <c r="E1107" t="str">
        <f t="shared" si="354"/>
        <v>640100</v>
      </c>
      <c r="F1107" t="str">
        <f>"10/31/14"</f>
        <v>10/31/14</v>
      </c>
      <c r="G1107" t="str">
        <f>"3001312673"</f>
        <v>3001312673</v>
      </c>
      <c r="H1107" s="4">
        <v>150</v>
      </c>
      <c r="I1107" s="3"/>
      <c r="J1107" t="str">
        <f t="shared" si="355"/>
        <v>THYSSENKRUPP ELEVATOR INC</v>
      </c>
      <c r="K1107" t="str">
        <f>"3382995"</f>
        <v>3382995</v>
      </c>
      <c r="L1107" s="2" t="str">
        <f>"# month elevator service and annual inspection at 180"</f>
        <v># month elevator service and annual inspection at 180</v>
      </c>
      <c r="M1107" t="str">
        <f t="shared" si="356"/>
        <v>SVALLANT</v>
      </c>
    </row>
    <row r="1108" spans="1:13" x14ac:dyDescent="0.25">
      <c r="A1108" t="str">
        <f t="shared" si="350"/>
        <v>10</v>
      </c>
      <c r="B1108" t="str">
        <f t="shared" si="351"/>
        <v>066</v>
      </c>
      <c r="C1108" t="str">
        <f t="shared" si="352"/>
        <v>3010106</v>
      </c>
      <c r="D1108" t="str">
        <f t="shared" si="353"/>
        <v>03</v>
      </c>
      <c r="E1108" t="str">
        <f t="shared" si="354"/>
        <v>640100</v>
      </c>
      <c r="F1108" t="str">
        <f t="shared" ref="F1108:F1114" si="357">"10/31/15"</f>
        <v>10/31/15</v>
      </c>
      <c r="G1108" t="str">
        <f>"123842"</f>
        <v>123842</v>
      </c>
      <c r="H1108" s="4">
        <v>145.12</v>
      </c>
      <c r="I1108" s="3"/>
      <c r="J1108" t="str">
        <f t="shared" si="355"/>
        <v>THYSSENKRUPP ELEVATOR INC</v>
      </c>
      <c r="K1108" t="str">
        <f>"3433369"</f>
        <v>3433369</v>
      </c>
      <c r="L1108" s="2" t="str">
        <f>"MONTHLY ELEVATOR MAINTENANCE SERVICE AT 180 SOUTH MAIN STREET"</f>
        <v>MONTHLY ELEVATOR MAINTENANCE SERVICE AT 180 SOUTH MAIN STREET</v>
      </c>
      <c r="M1108" t="str">
        <f t="shared" si="356"/>
        <v>SVALLANT</v>
      </c>
    </row>
    <row r="1109" spans="1:13" x14ac:dyDescent="0.25">
      <c r="A1109" t="str">
        <f t="shared" si="350"/>
        <v>10</v>
      </c>
      <c r="B1109" t="str">
        <f t="shared" si="351"/>
        <v>066</v>
      </c>
      <c r="C1109" t="str">
        <f t="shared" si="352"/>
        <v>3010106</v>
      </c>
      <c r="D1109" t="str">
        <f t="shared" si="353"/>
        <v>03</v>
      </c>
      <c r="E1109" t="str">
        <f t="shared" si="354"/>
        <v>640100</v>
      </c>
      <c r="F1109" t="str">
        <f t="shared" si="357"/>
        <v>10/31/15</v>
      </c>
      <c r="G1109" t="str">
        <f>"3002055978"</f>
        <v>3002055978</v>
      </c>
      <c r="H1109" s="4">
        <v>150</v>
      </c>
      <c r="I1109" s="3"/>
      <c r="J1109" t="str">
        <f t="shared" si="355"/>
        <v>THYSSENKRUPP ELEVATOR INC</v>
      </c>
      <c r="K1109" t="str">
        <f>"3435489"</f>
        <v>3435489</v>
      </c>
      <c r="L1109" s="2" t="str">
        <f>"elevator service"</f>
        <v>elevator service</v>
      </c>
      <c r="M1109" t="str">
        <f t="shared" si="356"/>
        <v>SVALLANT</v>
      </c>
    </row>
    <row r="1110" spans="1:13" x14ac:dyDescent="0.25">
      <c r="A1110" t="str">
        <f t="shared" si="350"/>
        <v>10</v>
      </c>
      <c r="B1110" t="str">
        <f t="shared" si="351"/>
        <v>066</v>
      </c>
      <c r="C1110" t="str">
        <f t="shared" si="352"/>
        <v>3010106</v>
      </c>
      <c r="D1110" t="str">
        <f t="shared" si="353"/>
        <v>03</v>
      </c>
      <c r="E1110" t="str">
        <f t="shared" si="354"/>
        <v>640100</v>
      </c>
      <c r="F1110" t="str">
        <f t="shared" si="357"/>
        <v>10/31/15</v>
      </c>
      <c r="G1110" t="str">
        <f>"3002089245"</f>
        <v>3002089245</v>
      </c>
      <c r="H1110" s="4">
        <v>150</v>
      </c>
      <c r="I1110" s="3"/>
      <c r="J1110" t="str">
        <f t="shared" si="355"/>
        <v>THYSSENKRUPP ELEVATOR INC</v>
      </c>
      <c r="K1110" t="str">
        <f>"3435489"</f>
        <v>3435489</v>
      </c>
      <c r="L1110" s="2" t="str">
        <f>"elevator service"</f>
        <v>elevator service</v>
      </c>
      <c r="M1110" t="str">
        <f t="shared" si="356"/>
        <v>SVALLANT</v>
      </c>
    </row>
    <row r="1111" spans="1:13" x14ac:dyDescent="0.25">
      <c r="A1111" t="str">
        <f t="shared" si="350"/>
        <v>10</v>
      </c>
      <c r="B1111" t="str">
        <f t="shared" si="351"/>
        <v>066</v>
      </c>
      <c r="C1111" t="str">
        <f t="shared" si="352"/>
        <v>3010106</v>
      </c>
      <c r="D1111" t="str">
        <f t="shared" si="353"/>
        <v>03</v>
      </c>
      <c r="E1111" t="str">
        <f t="shared" si="354"/>
        <v>640100</v>
      </c>
      <c r="F1111" t="str">
        <f t="shared" si="357"/>
        <v>10/31/15</v>
      </c>
      <c r="G1111" t="str">
        <f>"3002089245"</f>
        <v>3002089245</v>
      </c>
      <c r="H1111" s="4">
        <v>-150</v>
      </c>
      <c r="I1111" s="3"/>
      <c r="J1111" t="str">
        <f t="shared" si="355"/>
        <v>THYSSENKRUPP ELEVATOR INC</v>
      </c>
      <c r="K1111" t="str">
        <f>"3435489"</f>
        <v>3435489</v>
      </c>
      <c r="L1111" s="2" t="str">
        <f>"elevator service"</f>
        <v>elevator service</v>
      </c>
      <c r="M1111" t="str">
        <f t="shared" si="356"/>
        <v>SVALLANT</v>
      </c>
    </row>
    <row r="1112" spans="1:13" x14ac:dyDescent="0.25">
      <c r="A1112" t="str">
        <f t="shared" si="350"/>
        <v>10</v>
      </c>
      <c r="B1112" t="str">
        <f t="shared" si="351"/>
        <v>066</v>
      </c>
      <c r="C1112" t="str">
        <f t="shared" si="352"/>
        <v>3010106</v>
      </c>
      <c r="D1112" t="str">
        <f t="shared" si="353"/>
        <v>03</v>
      </c>
      <c r="E1112" t="str">
        <f t="shared" si="354"/>
        <v>640100</v>
      </c>
      <c r="F1112" t="str">
        <f t="shared" si="357"/>
        <v>10/31/15</v>
      </c>
      <c r="G1112" t="str">
        <f>"3002089245"</f>
        <v>3002089245</v>
      </c>
      <c r="H1112" s="4">
        <v>150</v>
      </c>
      <c r="I1112" s="3"/>
      <c r="J1112" t="str">
        <f t="shared" si="355"/>
        <v>THYSSENKRUPP ELEVATOR INC</v>
      </c>
      <c r="K1112" t="str">
        <f>"3435489"</f>
        <v>3435489</v>
      </c>
      <c r="L1112" s="2" t="str">
        <f>"elevator service"</f>
        <v>elevator service</v>
      </c>
      <c r="M1112" t="str">
        <f t="shared" si="356"/>
        <v>SVALLANT</v>
      </c>
    </row>
    <row r="1113" spans="1:13" x14ac:dyDescent="0.25">
      <c r="A1113" t="str">
        <f t="shared" si="350"/>
        <v>10</v>
      </c>
      <c r="B1113" t="str">
        <f t="shared" si="351"/>
        <v>066</v>
      </c>
      <c r="C1113" t="str">
        <f t="shared" si="352"/>
        <v>3010106</v>
      </c>
      <c r="D1113" t="str">
        <f t="shared" si="353"/>
        <v>03</v>
      </c>
      <c r="E1113" t="str">
        <f t="shared" si="354"/>
        <v>640100</v>
      </c>
      <c r="F1113" t="str">
        <f t="shared" si="357"/>
        <v>10/31/15</v>
      </c>
      <c r="G1113" t="str">
        <f>"5000382078"</f>
        <v>5000382078</v>
      </c>
      <c r="H1113" s="4">
        <v>327.51</v>
      </c>
      <c r="I1113" s="3"/>
      <c r="J1113" t="str">
        <f t="shared" si="355"/>
        <v>THYSSENKRUPP ELEVATOR INC</v>
      </c>
      <c r="K1113" t="str">
        <f>"3435489"</f>
        <v>3435489</v>
      </c>
      <c r="L1113" s="2" t="str">
        <f>"elevator service"</f>
        <v>elevator service</v>
      </c>
      <c r="M1113" t="str">
        <f t="shared" si="356"/>
        <v>SVALLANT</v>
      </c>
    </row>
    <row r="1114" spans="1:13" x14ac:dyDescent="0.25">
      <c r="A1114" t="str">
        <f t="shared" si="350"/>
        <v>10</v>
      </c>
      <c r="B1114" t="str">
        <f t="shared" si="351"/>
        <v>066</v>
      </c>
      <c r="C1114" t="str">
        <f t="shared" si="352"/>
        <v>3010106</v>
      </c>
      <c r="D1114" t="str">
        <f t="shared" si="353"/>
        <v>03</v>
      </c>
      <c r="E1114" t="str">
        <f t="shared" si="354"/>
        <v>640100</v>
      </c>
      <c r="F1114" t="str">
        <f t="shared" si="357"/>
        <v>10/31/15</v>
      </c>
      <c r="G1114" t="str">
        <f>"APPLICATION #1"</f>
        <v>APPLICATION #1</v>
      </c>
      <c r="H1114" s="3">
        <v>19078.61</v>
      </c>
      <c r="I1114" s="3"/>
      <c r="J1114" s="1" t="str">
        <f t="shared" si="355"/>
        <v>THYSSENKRUPP ELEVATOR INC</v>
      </c>
      <c r="K1114" t="str">
        <f>"3434590"</f>
        <v>3434590</v>
      </c>
      <c r="L1114" s="2" t="str">
        <f>"ELEVATOR MODERNIZATION AT 180 SOUTH MAIN STREET, PROVIDENCE, RI 02903"</f>
        <v>ELEVATOR MODERNIZATION AT 180 SOUTH MAIN STREET, PROVIDENCE, RI 02903</v>
      </c>
      <c r="M1114" t="str">
        <f t="shared" si="356"/>
        <v>SVALLANT</v>
      </c>
    </row>
    <row r="1115" spans="1:13" x14ac:dyDescent="0.25">
      <c r="A1115" t="str">
        <f t="shared" si="350"/>
        <v>10</v>
      </c>
      <c r="B1115" t="str">
        <f t="shared" si="351"/>
        <v>066</v>
      </c>
      <c r="C1115" t="str">
        <f t="shared" si="352"/>
        <v>3010106</v>
      </c>
      <c r="D1115" t="str">
        <f t="shared" si="353"/>
        <v>03</v>
      </c>
      <c r="E1115" t="str">
        <f t="shared" si="354"/>
        <v>640100</v>
      </c>
      <c r="F1115" t="str">
        <f>"11/30/14"</f>
        <v>11/30/14</v>
      </c>
      <c r="G1115" t="str">
        <f>"3001404088"</f>
        <v>3001404088</v>
      </c>
      <c r="H1115" s="3">
        <v>150</v>
      </c>
      <c r="I1115" s="3"/>
      <c r="J1115" s="1" t="str">
        <f t="shared" si="355"/>
        <v>THYSSENKRUPP ELEVATOR INC</v>
      </c>
      <c r="K1115" t="str">
        <f>"3382995"</f>
        <v>3382995</v>
      </c>
      <c r="L1115" s="2" t="str">
        <f>"# month elevator service and annual inspection at 180"</f>
        <v># month elevator service and annual inspection at 180</v>
      </c>
      <c r="M1115" t="str">
        <f t="shared" si="356"/>
        <v>SVALLANT</v>
      </c>
    </row>
    <row r="1116" spans="1:13" x14ac:dyDescent="0.25">
      <c r="A1116" t="str">
        <f t="shared" si="350"/>
        <v>10</v>
      </c>
      <c r="B1116" t="str">
        <f t="shared" si="351"/>
        <v>066</v>
      </c>
      <c r="C1116" t="str">
        <f t="shared" si="352"/>
        <v>3010106</v>
      </c>
      <c r="D1116" t="str">
        <f t="shared" si="353"/>
        <v>03</v>
      </c>
      <c r="E1116" t="str">
        <f t="shared" si="354"/>
        <v>640100</v>
      </c>
      <c r="F1116" t="str">
        <f>"11/30/15"</f>
        <v>11/30/15</v>
      </c>
      <c r="G1116" t="str">
        <f>"3002200019"</f>
        <v>3002200019</v>
      </c>
      <c r="H1116" s="3">
        <v>150</v>
      </c>
      <c r="I1116" s="3"/>
      <c r="J1116" s="1" t="str">
        <f t="shared" si="355"/>
        <v>THYSSENKRUPP ELEVATOR INC</v>
      </c>
      <c r="K1116" t="str">
        <f>"3433369"</f>
        <v>3433369</v>
      </c>
      <c r="L1116" s="2" t="str">
        <f>"MONTHLY ELEVATOR MAINTENANCE SERVICE AT 180 SOUTH MAIN STREET"</f>
        <v>MONTHLY ELEVATOR MAINTENANCE SERVICE AT 180 SOUTH MAIN STREET</v>
      </c>
      <c r="M1116" t="str">
        <f t="shared" si="356"/>
        <v>SVALLANT</v>
      </c>
    </row>
    <row r="1117" spans="1:13" x14ac:dyDescent="0.25">
      <c r="A1117" t="str">
        <f t="shared" si="350"/>
        <v>10</v>
      </c>
      <c r="B1117" t="str">
        <f t="shared" si="351"/>
        <v>066</v>
      </c>
      <c r="C1117" t="str">
        <f t="shared" si="352"/>
        <v>3010106</v>
      </c>
      <c r="D1117" t="str">
        <f t="shared" si="353"/>
        <v>03</v>
      </c>
      <c r="E1117" t="str">
        <f t="shared" si="354"/>
        <v>640100</v>
      </c>
      <c r="F1117" t="str">
        <f>"12/31/14"</f>
        <v>12/31/14</v>
      </c>
      <c r="G1117" t="str">
        <f>"3001455761"</f>
        <v>3001455761</v>
      </c>
      <c r="H1117" s="3">
        <v>150</v>
      </c>
      <c r="I1117" s="3"/>
      <c r="J1117" s="1" t="str">
        <f t="shared" si="355"/>
        <v>THYSSENKRUPP ELEVATOR INC</v>
      </c>
      <c r="K1117" t="str">
        <f>"3382995"</f>
        <v>3382995</v>
      </c>
      <c r="L1117" s="2" t="str">
        <f>"# month elevator service and annual inspection at 180"</f>
        <v># month elevator service and annual inspection at 180</v>
      </c>
      <c r="M1117" t="str">
        <f t="shared" si="356"/>
        <v>SVALLANT</v>
      </c>
    </row>
    <row r="1118" spans="1:13" x14ac:dyDescent="0.25">
      <c r="A1118" t="str">
        <f t="shared" si="350"/>
        <v>10</v>
      </c>
      <c r="B1118" t="str">
        <f t="shared" si="351"/>
        <v>066</v>
      </c>
      <c r="C1118" t="str">
        <f t="shared" si="352"/>
        <v>3010106</v>
      </c>
      <c r="D1118" t="str">
        <f t="shared" si="353"/>
        <v>03</v>
      </c>
      <c r="E1118" t="str">
        <f t="shared" si="354"/>
        <v>640100</v>
      </c>
      <c r="F1118" t="str">
        <f>"12/31/15"</f>
        <v>12/31/15</v>
      </c>
      <c r="G1118" t="str">
        <f>"3002243962"</f>
        <v>3002243962</v>
      </c>
      <c r="H1118" s="3">
        <v>150</v>
      </c>
      <c r="I1118" s="3"/>
      <c r="J1118" s="1" t="str">
        <f t="shared" si="355"/>
        <v>THYSSENKRUPP ELEVATOR INC</v>
      </c>
      <c r="K1118" t="str">
        <f>"3433369"</f>
        <v>3433369</v>
      </c>
      <c r="L1118" s="2" t="str">
        <f>"MONTHLY ELEVATOR MAINTENANCE SERVICE AT 180 SOUTH MAIN STREET"</f>
        <v>MONTHLY ELEVATOR MAINTENANCE SERVICE AT 180 SOUTH MAIN STREET</v>
      </c>
      <c r="M1118" t="str">
        <f t="shared" si="356"/>
        <v>SVALLANT</v>
      </c>
    </row>
    <row r="1119" spans="1:13" x14ac:dyDescent="0.25">
      <c r="H1119" s="6">
        <f>SUM(H1091:H1118)</f>
        <v>84708.510000000009</v>
      </c>
      <c r="I1119" s="6">
        <f>SUM(H1091:H1118)</f>
        <v>84708.510000000009</v>
      </c>
      <c r="J1119" s="1"/>
      <c r="L1119" s="2"/>
      <c r="M1119" t="str">
        <f t="shared" si="356"/>
        <v>SVALLANT</v>
      </c>
    </row>
    <row r="1120" spans="1:13" x14ac:dyDescent="0.25">
      <c r="H1120" s="3"/>
      <c r="I1120" s="3"/>
      <c r="J1120" s="1"/>
      <c r="L1120" s="2"/>
    </row>
    <row r="1121" spans="1:13" ht="30" x14ac:dyDescent="0.25">
      <c r="A1121" t="str">
        <f>"10"</f>
        <v>10</v>
      </c>
      <c r="B1121" t="str">
        <f>"066"</f>
        <v>066</v>
      </c>
      <c r="C1121" t="str">
        <f>"3010106"</f>
        <v>3010106</v>
      </c>
      <c r="D1121" t="str">
        <f>"03"</f>
        <v>03</v>
      </c>
      <c r="E1121" t="str">
        <f>"640100"</f>
        <v>640100</v>
      </c>
      <c r="F1121" t="str">
        <f>"04/30/14"</f>
        <v>04/30/14</v>
      </c>
      <c r="G1121" t="str">
        <f>"21185168"</f>
        <v>21185168</v>
      </c>
      <c r="H1121" s="6">
        <v>835</v>
      </c>
      <c r="I1121" s="6">
        <f>SUM(H1121)</f>
        <v>835</v>
      </c>
      <c r="J1121" s="1" t="str">
        <f>"TYCO INTEGRATED SECURITY LLC"</f>
        <v>TYCO INTEGRATED SECURITY LLC</v>
      </c>
      <c r="K1121" t="str">
        <f>"3373436"</f>
        <v>3373436</v>
      </c>
      <c r="L1121" s="2" t="str">
        <f>"02/25/14-01/31/15 - ANNUAL SECURITY ALARM SERVICE FOR 180 SOUTH MAIN STREET LOCATION"</f>
        <v>02/25/14-01/31/15 - ANNUAL SECURITY ALARM SERVICE FOR 180 SOUTH MAIN STREET LOCATION</v>
      </c>
    </row>
    <row r="1122" spans="1:13" x14ac:dyDescent="0.25">
      <c r="H1122" s="3"/>
      <c r="I1122" s="3"/>
      <c r="J1122" s="1"/>
      <c r="L1122" s="2"/>
      <c r="M1122" t="str">
        <f>"SVALLANT"</f>
        <v>SVALLANT</v>
      </c>
    </row>
    <row r="1123" spans="1:13" x14ac:dyDescent="0.25">
      <c r="A1123" t="str">
        <f t="shared" ref="A1123:A1133" si="358">"10"</f>
        <v>10</v>
      </c>
      <c r="B1123" t="str">
        <f t="shared" ref="B1123:B1133" si="359">"066"</f>
        <v>066</v>
      </c>
      <c r="C1123" t="str">
        <f t="shared" ref="C1123:C1133" si="360">"3010106"</f>
        <v>3010106</v>
      </c>
      <c r="D1123" t="str">
        <f t="shared" ref="D1123:D1133" si="361">"03"</f>
        <v>03</v>
      </c>
      <c r="E1123" t="str">
        <f t="shared" ref="E1123:E1133" si="362">"645200"</f>
        <v>645200</v>
      </c>
      <c r="F1123" t="str">
        <f>"01/31/17"</f>
        <v>01/31/17</v>
      </c>
      <c r="G1123" t="str">
        <f>"139329357-023"</f>
        <v>139329357-023</v>
      </c>
      <c r="H1123" s="3">
        <v>6668</v>
      </c>
      <c r="I1123" s="3"/>
      <c r="J1123" s="1" t="str">
        <f t="shared" ref="J1123:J1133" si="363">"UNITED RENTALS (NORTH AMERICA) INC"</f>
        <v>UNITED RENTALS (NORTH AMERICA) INC</v>
      </c>
      <c r="K1123" t="str">
        <f>"3498031"</f>
        <v>3498031</v>
      </c>
      <c r="L1123" s="2" t="str">
        <f t="shared" ref="L1123:L1133" si="364">"generator rental"</f>
        <v>generator rental</v>
      </c>
    </row>
    <row r="1124" spans="1:13" x14ac:dyDescent="0.25">
      <c r="A1124" t="str">
        <f t="shared" si="358"/>
        <v>10</v>
      </c>
      <c r="B1124" t="str">
        <f t="shared" si="359"/>
        <v>066</v>
      </c>
      <c r="C1124" t="str">
        <f t="shared" si="360"/>
        <v>3010106</v>
      </c>
      <c r="D1124" t="str">
        <f t="shared" si="361"/>
        <v>03</v>
      </c>
      <c r="E1124" t="str">
        <f t="shared" si="362"/>
        <v>645200</v>
      </c>
      <c r="F1124" t="str">
        <f>"01/31/17"</f>
        <v>01/31/17</v>
      </c>
      <c r="G1124" t="str">
        <f>"139329357-024"</f>
        <v>139329357-024</v>
      </c>
      <c r="H1124" s="3">
        <v>6668</v>
      </c>
      <c r="I1124" s="3"/>
      <c r="J1124" s="1" t="str">
        <f t="shared" si="363"/>
        <v>UNITED RENTALS (NORTH AMERICA) INC</v>
      </c>
      <c r="K1124" t="str">
        <f>"3498031"</f>
        <v>3498031</v>
      </c>
      <c r="L1124" s="2" t="str">
        <f t="shared" si="364"/>
        <v>generator rental</v>
      </c>
      <c r="M1124" t="str">
        <f t="shared" ref="M1124:M1134" si="365">"MFUSCO"</f>
        <v>MFUSCO</v>
      </c>
    </row>
    <row r="1125" spans="1:13" x14ac:dyDescent="0.25">
      <c r="A1125" t="str">
        <f t="shared" si="358"/>
        <v>10</v>
      </c>
      <c r="B1125" t="str">
        <f t="shared" si="359"/>
        <v>066</v>
      </c>
      <c r="C1125" t="str">
        <f t="shared" si="360"/>
        <v>3010106</v>
      </c>
      <c r="D1125" t="str">
        <f t="shared" si="361"/>
        <v>03</v>
      </c>
      <c r="E1125" t="str">
        <f t="shared" si="362"/>
        <v>645200</v>
      </c>
      <c r="F1125" t="str">
        <f>"02/28/17"</f>
        <v>02/28/17</v>
      </c>
      <c r="G1125" t="str">
        <f>"139329357-025"</f>
        <v>139329357-025</v>
      </c>
      <c r="H1125" s="3">
        <v>6668</v>
      </c>
      <c r="I1125" s="3"/>
      <c r="J1125" s="1" t="str">
        <f t="shared" si="363"/>
        <v>UNITED RENTALS (NORTH AMERICA) INC</v>
      </c>
      <c r="K1125" t="str">
        <f>"3498031"</f>
        <v>3498031</v>
      </c>
      <c r="L1125" s="2" t="str">
        <f t="shared" si="364"/>
        <v>generator rental</v>
      </c>
      <c r="M1125" t="str">
        <f t="shared" si="365"/>
        <v>MFUSCO</v>
      </c>
    </row>
    <row r="1126" spans="1:13" x14ac:dyDescent="0.25">
      <c r="A1126" t="str">
        <f t="shared" si="358"/>
        <v>10</v>
      </c>
      <c r="B1126" t="str">
        <f t="shared" si="359"/>
        <v>066</v>
      </c>
      <c r="C1126" t="str">
        <f t="shared" si="360"/>
        <v>3010106</v>
      </c>
      <c r="D1126" t="str">
        <f t="shared" si="361"/>
        <v>03</v>
      </c>
      <c r="E1126" t="str">
        <f t="shared" si="362"/>
        <v>645200</v>
      </c>
      <c r="F1126" t="str">
        <f>"03/31/17"</f>
        <v>03/31/17</v>
      </c>
      <c r="G1126" t="str">
        <f>"139329357-026"</f>
        <v>139329357-026</v>
      </c>
      <c r="H1126" s="4">
        <v>6668</v>
      </c>
      <c r="I1126" s="3"/>
      <c r="J1126" t="str">
        <f t="shared" si="363"/>
        <v>UNITED RENTALS (NORTH AMERICA) INC</v>
      </c>
      <c r="K1126" t="str">
        <f>"3498031"</f>
        <v>3498031</v>
      </c>
      <c r="L1126" s="2" t="str">
        <f t="shared" si="364"/>
        <v>generator rental</v>
      </c>
      <c r="M1126" t="str">
        <f t="shared" si="365"/>
        <v>MFUSCO</v>
      </c>
    </row>
    <row r="1127" spans="1:13" x14ac:dyDescent="0.25">
      <c r="A1127" t="str">
        <f t="shared" si="358"/>
        <v>10</v>
      </c>
      <c r="B1127" t="str">
        <f t="shared" si="359"/>
        <v>066</v>
      </c>
      <c r="C1127" t="str">
        <f t="shared" si="360"/>
        <v>3010106</v>
      </c>
      <c r="D1127" t="str">
        <f t="shared" si="361"/>
        <v>03</v>
      </c>
      <c r="E1127" t="str">
        <f t="shared" si="362"/>
        <v>645200</v>
      </c>
      <c r="F1127" t="str">
        <f>"05/31/17"</f>
        <v>05/31/17</v>
      </c>
      <c r="G1127" t="str">
        <f>"139329357-0270"</f>
        <v>139329357-0270</v>
      </c>
      <c r="H1127" s="4">
        <v>6668</v>
      </c>
      <c r="I1127" s="3"/>
      <c r="J1127" t="str">
        <f t="shared" si="363"/>
        <v>UNITED RENTALS (NORTH AMERICA) INC</v>
      </c>
      <c r="K1127" t="str">
        <f>"3515335"</f>
        <v>3515335</v>
      </c>
      <c r="L1127" s="2" t="str">
        <f t="shared" si="364"/>
        <v>generator rental</v>
      </c>
      <c r="M1127" t="str">
        <f t="shared" si="365"/>
        <v>MFUSCO</v>
      </c>
    </row>
    <row r="1128" spans="1:13" x14ac:dyDescent="0.25">
      <c r="A1128" t="str">
        <f t="shared" si="358"/>
        <v>10</v>
      </c>
      <c r="B1128" t="str">
        <f t="shared" si="359"/>
        <v>066</v>
      </c>
      <c r="C1128" t="str">
        <f t="shared" si="360"/>
        <v>3010106</v>
      </c>
      <c r="D1128" t="str">
        <f t="shared" si="361"/>
        <v>03</v>
      </c>
      <c r="E1128" t="str">
        <f t="shared" si="362"/>
        <v>645200</v>
      </c>
      <c r="F1128" t="str">
        <f>"05/31/17"</f>
        <v>05/31/17</v>
      </c>
      <c r="G1128" t="str">
        <f>"139329357-028"</f>
        <v>139329357-028</v>
      </c>
      <c r="H1128" s="4">
        <v>6668</v>
      </c>
      <c r="I1128" s="3"/>
      <c r="J1128" t="str">
        <f t="shared" si="363"/>
        <v>UNITED RENTALS (NORTH AMERICA) INC</v>
      </c>
      <c r="K1128" t="str">
        <f>"3515335"</f>
        <v>3515335</v>
      </c>
      <c r="L1128" s="2" t="str">
        <f t="shared" si="364"/>
        <v>generator rental</v>
      </c>
      <c r="M1128" t="str">
        <f t="shared" si="365"/>
        <v>MFUSCO</v>
      </c>
    </row>
    <row r="1129" spans="1:13" x14ac:dyDescent="0.25">
      <c r="A1129" t="str">
        <f t="shared" si="358"/>
        <v>10</v>
      </c>
      <c r="B1129" t="str">
        <f t="shared" si="359"/>
        <v>066</v>
      </c>
      <c r="C1129" t="str">
        <f t="shared" si="360"/>
        <v>3010106</v>
      </c>
      <c r="D1129" t="str">
        <f t="shared" si="361"/>
        <v>03</v>
      </c>
      <c r="E1129" t="str">
        <f t="shared" si="362"/>
        <v>645200</v>
      </c>
      <c r="F1129" t="str">
        <f>"06/30/17"</f>
        <v>06/30/17</v>
      </c>
      <c r="G1129" t="str">
        <f>"139329357-029"</f>
        <v>139329357-029</v>
      </c>
      <c r="H1129" s="4">
        <v>6668</v>
      </c>
      <c r="I1129" s="3"/>
      <c r="J1129" t="str">
        <f t="shared" si="363"/>
        <v>UNITED RENTALS (NORTH AMERICA) INC</v>
      </c>
      <c r="K1129" t="str">
        <f>"3515335"</f>
        <v>3515335</v>
      </c>
      <c r="L1129" s="2" t="str">
        <f t="shared" si="364"/>
        <v>generator rental</v>
      </c>
      <c r="M1129" t="str">
        <f t="shared" si="365"/>
        <v>MFUSCO</v>
      </c>
    </row>
    <row r="1130" spans="1:13" x14ac:dyDescent="0.25">
      <c r="A1130" t="str">
        <f t="shared" si="358"/>
        <v>10</v>
      </c>
      <c r="B1130" t="str">
        <f t="shared" si="359"/>
        <v>066</v>
      </c>
      <c r="C1130" t="str">
        <f t="shared" si="360"/>
        <v>3010106</v>
      </c>
      <c r="D1130" t="str">
        <f t="shared" si="361"/>
        <v>03</v>
      </c>
      <c r="E1130" t="str">
        <f t="shared" si="362"/>
        <v>645200</v>
      </c>
      <c r="F1130" t="str">
        <f>"11/30/16"</f>
        <v>11/30/16</v>
      </c>
      <c r="G1130" t="str">
        <f>"139329357-003"</f>
        <v>139329357-003</v>
      </c>
      <c r="H1130" s="4">
        <v>7328.84</v>
      </c>
      <c r="I1130" s="3"/>
      <c r="J1130" t="str">
        <f t="shared" si="363"/>
        <v>UNITED RENTALS (NORTH AMERICA) INC</v>
      </c>
      <c r="K1130" t="str">
        <f>"3475377"</f>
        <v>3475377</v>
      </c>
      <c r="L1130" s="2" t="str">
        <f t="shared" si="364"/>
        <v>generator rental</v>
      </c>
      <c r="M1130" t="str">
        <f t="shared" si="365"/>
        <v>MFUSCO</v>
      </c>
    </row>
    <row r="1131" spans="1:13" x14ac:dyDescent="0.25">
      <c r="A1131" t="str">
        <f t="shared" si="358"/>
        <v>10</v>
      </c>
      <c r="B1131" t="str">
        <f t="shared" si="359"/>
        <v>066</v>
      </c>
      <c r="C1131" t="str">
        <f t="shared" si="360"/>
        <v>3010106</v>
      </c>
      <c r="D1131" t="str">
        <f t="shared" si="361"/>
        <v>03</v>
      </c>
      <c r="E1131" t="str">
        <f t="shared" si="362"/>
        <v>645200</v>
      </c>
      <c r="F1131" t="str">
        <f>"11/30/16"</f>
        <v>11/30/16</v>
      </c>
      <c r="G1131" t="str">
        <f>"139329357-004"</f>
        <v>139329357-004</v>
      </c>
      <c r="H1131" s="4">
        <v>6743.02</v>
      </c>
      <c r="I1131" s="3"/>
      <c r="J1131" t="str">
        <f t="shared" si="363"/>
        <v>UNITED RENTALS (NORTH AMERICA) INC</v>
      </c>
      <c r="K1131" t="str">
        <f>"3475377"</f>
        <v>3475377</v>
      </c>
      <c r="L1131" s="2" t="str">
        <f t="shared" si="364"/>
        <v>generator rental</v>
      </c>
      <c r="M1131" t="str">
        <f t="shared" si="365"/>
        <v>MFUSCO</v>
      </c>
    </row>
    <row r="1132" spans="1:13" x14ac:dyDescent="0.25">
      <c r="A1132" t="str">
        <f t="shared" si="358"/>
        <v>10</v>
      </c>
      <c r="B1132" t="str">
        <f t="shared" si="359"/>
        <v>066</v>
      </c>
      <c r="C1132" t="str">
        <f t="shared" si="360"/>
        <v>3010106</v>
      </c>
      <c r="D1132" t="str">
        <f t="shared" si="361"/>
        <v>03</v>
      </c>
      <c r="E1132" t="str">
        <f t="shared" si="362"/>
        <v>645200</v>
      </c>
      <c r="F1132" t="str">
        <f>"11/30/16"</f>
        <v>11/30/16</v>
      </c>
      <c r="G1132" t="str">
        <f>"139329357-006"</f>
        <v>139329357-006</v>
      </c>
      <c r="H1132" s="4">
        <v>6443.02</v>
      </c>
      <c r="I1132" s="3"/>
      <c r="J1132" t="str">
        <f t="shared" si="363"/>
        <v>UNITED RENTALS (NORTH AMERICA) INC</v>
      </c>
      <c r="K1132" t="str">
        <f>"3475377"</f>
        <v>3475377</v>
      </c>
      <c r="L1132" s="2" t="str">
        <f t="shared" si="364"/>
        <v>generator rental</v>
      </c>
      <c r="M1132" t="str">
        <f t="shared" si="365"/>
        <v>MFUSCO</v>
      </c>
    </row>
    <row r="1133" spans="1:13" x14ac:dyDescent="0.25">
      <c r="A1133" t="str">
        <f t="shared" si="358"/>
        <v>10</v>
      </c>
      <c r="B1133" t="str">
        <f t="shared" si="359"/>
        <v>066</v>
      </c>
      <c r="C1133" t="str">
        <f t="shared" si="360"/>
        <v>3010106</v>
      </c>
      <c r="D1133" t="str">
        <f t="shared" si="361"/>
        <v>03</v>
      </c>
      <c r="E1133" t="str">
        <f t="shared" si="362"/>
        <v>645200</v>
      </c>
      <c r="F1133" t="str">
        <f>"12/31/16"</f>
        <v>12/31/16</v>
      </c>
      <c r="G1133" t="str">
        <f>"139329357-018"</f>
        <v>139329357-018</v>
      </c>
      <c r="H1133" s="3">
        <v>6668</v>
      </c>
      <c r="I1133" s="3"/>
      <c r="J1133" t="str">
        <f t="shared" si="363"/>
        <v>UNITED RENTALS (NORTH AMERICA) INC</v>
      </c>
      <c r="K1133" t="str">
        <f>"3475377"</f>
        <v>3475377</v>
      </c>
      <c r="L1133" s="2" t="str">
        <f t="shared" si="364"/>
        <v>generator rental</v>
      </c>
      <c r="M1133" t="str">
        <f t="shared" si="365"/>
        <v>MFUSCO</v>
      </c>
    </row>
    <row r="1134" spans="1:13" x14ac:dyDescent="0.25">
      <c r="H1134" s="6">
        <f>SUM(H1123:H1133)</f>
        <v>73858.880000000005</v>
      </c>
      <c r="I1134" s="6">
        <f>SUM(H1123:H1133)</f>
        <v>73858.880000000005</v>
      </c>
      <c r="L1134" s="2"/>
      <c r="M1134" t="str">
        <f t="shared" si="365"/>
        <v>MFUSCO</v>
      </c>
    </row>
    <row r="1135" spans="1:13" x14ac:dyDescent="0.25">
      <c r="H1135" s="3"/>
      <c r="I1135" s="3"/>
      <c r="L1135" s="2"/>
    </row>
    <row r="1136" spans="1:13" ht="30" x14ac:dyDescent="0.25">
      <c r="A1136" t="str">
        <f t="shared" ref="A1136:A1178" si="366">"10"</f>
        <v>10</v>
      </c>
      <c r="B1136" t="str">
        <f t="shared" ref="B1136:B1178" si="367">"066"</f>
        <v>066</v>
      </c>
      <c r="C1136" t="str">
        <f t="shared" ref="C1136:C1178" si="368">"3010106"</f>
        <v>3010106</v>
      </c>
      <c r="D1136" t="str">
        <f t="shared" ref="D1136:D1178" si="369">"03"</f>
        <v>03</v>
      </c>
      <c r="E1136" t="str">
        <f t="shared" ref="E1136:E1178" si="370">"648100"</f>
        <v>648100</v>
      </c>
      <c r="F1136" t="str">
        <f>"01/31/15"</f>
        <v>01/31/15</v>
      </c>
      <c r="G1136" t="str">
        <f>"1566SXA0182"</f>
        <v>1566SXA0182</v>
      </c>
      <c r="H1136" s="3">
        <v>81.75</v>
      </c>
      <c r="I1136" s="3"/>
      <c r="J1136" t="str">
        <f t="shared" ref="J1136:J1178" si="371">"VERIZON NEW ENGLAND INC"</f>
        <v>VERIZON NEW ENGLAND INC</v>
      </c>
      <c r="K1136" t="str">
        <f>""</f>
        <v/>
      </c>
      <c r="L1136" s="2" t="str">
        <f>"ACCT: 401 831 1058 807 005 7 - DEC 2014 MONTHLY PAYMENT - LINE AT 180 SOUTH MAIN STREET BUILDING"</f>
        <v>ACCT: 401 831 1058 807 005 7 - DEC 2014 MONTHLY PAYMENT - LINE AT 180 SOUTH MAIN STREET BUILDING</v>
      </c>
    </row>
    <row r="1137" spans="1:13" x14ac:dyDescent="0.25">
      <c r="A1137" t="str">
        <f t="shared" si="366"/>
        <v>10</v>
      </c>
      <c r="B1137" t="str">
        <f t="shared" si="367"/>
        <v>066</v>
      </c>
      <c r="C1137" t="str">
        <f t="shared" si="368"/>
        <v>3010106</v>
      </c>
      <c r="D1137" t="str">
        <f t="shared" si="369"/>
        <v>03</v>
      </c>
      <c r="E1137" t="str">
        <f t="shared" si="370"/>
        <v>648100</v>
      </c>
      <c r="F1137" t="str">
        <f>"01/31/16"</f>
        <v>01/31/16</v>
      </c>
      <c r="G1137" t="str">
        <f>"1666SXA0189"</f>
        <v>1666SXA0189</v>
      </c>
      <c r="H1137" s="3">
        <v>86.36</v>
      </c>
      <c r="I1137" s="3"/>
      <c r="J1137" t="str">
        <f t="shared" si="371"/>
        <v>VERIZON NEW ENGLAND INC</v>
      </c>
      <c r="K1137" t="str">
        <f>""</f>
        <v/>
      </c>
      <c r="L1137" s="2" t="str">
        <f>"ACCT: 401 831 1058 807 005 7 - DEC 2015 MONTHLY PAYMENT"</f>
        <v>ACCT: 401 831 1058 807 005 7 - DEC 2015 MONTHLY PAYMENT</v>
      </c>
      <c r="M1137" t="str">
        <f t="shared" ref="M1137:M1179" si="372">"SVALLANT"</f>
        <v>SVALLANT</v>
      </c>
    </row>
    <row r="1138" spans="1:13" x14ac:dyDescent="0.25">
      <c r="A1138" t="str">
        <f t="shared" si="366"/>
        <v>10</v>
      </c>
      <c r="B1138" t="str">
        <f t="shared" si="367"/>
        <v>066</v>
      </c>
      <c r="C1138" t="str">
        <f t="shared" si="368"/>
        <v>3010106</v>
      </c>
      <c r="D1138" t="str">
        <f t="shared" si="369"/>
        <v>03</v>
      </c>
      <c r="E1138" t="str">
        <f t="shared" si="370"/>
        <v>648100</v>
      </c>
      <c r="F1138" t="str">
        <f>"01/31/17"</f>
        <v>01/31/17</v>
      </c>
      <c r="G1138" t="str">
        <f>"1766SXA0152"</f>
        <v>1766SXA0152</v>
      </c>
      <c r="H1138" s="4">
        <v>88.98</v>
      </c>
      <c r="I1138" s="3"/>
      <c r="J1138" t="str">
        <f t="shared" si="371"/>
        <v>VERIZON NEW ENGLAND INC</v>
      </c>
      <c r="K1138" t="str">
        <f>""</f>
        <v/>
      </c>
      <c r="L1138" s="2" t="str">
        <f>"ACCT: 401 831 1058 807 005 7 - DEC 2016 MONTHLY PAYMENT"</f>
        <v>ACCT: 401 831 1058 807 005 7 - DEC 2016 MONTHLY PAYMENT</v>
      </c>
      <c r="M1138" t="str">
        <f t="shared" si="372"/>
        <v>SVALLANT</v>
      </c>
    </row>
    <row r="1139" spans="1:13" ht="30" x14ac:dyDescent="0.25">
      <c r="A1139" t="str">
        <f t="shared" si="366"/>
        <v>10</v>
      </c>
      <c r="B1139" t="str">
        <f t="shared" si="367"/>
        <v>066</v>
      </c>
      <c r="C1139" t="str">
        <f t="shared" si="368"/>
        <v>3010106</v>
      </c>
      <c r="D1139" t="str">
        <f t="shared" si="369"/>
        <v>03</v>
      </c>
      <c r="E1139" t="str">
        <f t="shared" si="370"/>
        <v>648100</v>
      </c>
      <c r="F1139" t="str">
        <f>"02/28/15"</f>
        <v>02/28/15</v>
      </c>
      <c r="G1139" t="str">
        <f>"1566SXA0234"</f>
        <v>1566SXA0234</v>
      </c>
      <c r="H1139" s="4">
        <v>3147.99</v>
      </c>
      <c r="I1139" s="3"/>
      <c r="J1139" t="str">
        <f t="shared" si="371"/>
        <v>VERIZON NEW ENGLAND INC</v>
      </c>
      <c r="K1139" t="str">
        <f>""</f>
        <v/>
      </c>
      <c r="L1139" s="2" t="str">
        <f>"ACCT: 401 243 2300 811 005 4 - DEC 2015 MONTHLY PAYMENT FOR NEW PHONE ACCT AT 180 SOUTH MAIN STREET"</f>
        <v>ACCT: 401 243 2300 811 005 4 - DEC 2015 MONTHLY PAYMENT FOR NEW PHONE ACCT AT 180 SOUTH MAIN STREET</v>
      </c>
      <c r="M1139" t="str">
        <f t="shared" si="372"/>
        <v>SVALLANT</v>
      </c>
    </row>
    <row r="1140" spans="1:13" ht="30" x14ac:dyDescent="0.25">
      <c r="A1140" t="str">
        <f t="shared" si="366"/>
        <v>10</v>
      </c>
      <c r="B1140" t="str">
        <f t="shared" si="367"/>
        <v>066</v>
      </c>
      <c r="C1140" t="str">
        <f t="shared" si="368"/>
        <v>3010106</v>
      </c>
      <c r="D1140" t="str">
        <f t="shared" si="369"/>
        <v>03</v>
      </c>
      <c r="E1140" t="str">
        <f t="shared" si="370"/>
        <v>648100</v>
      </c>
      <c r="F1140" t="str">
        <f>"02/28/15"</f>
        <v>02/28/15</v>
      </c>
      <c r="G1140" t="str">
        <f>"1566SXA0236"</f>
        <v>1566SXA0236</v>
      </c>
      <c r="H1140" s="4">
        <v>1744.74</v>
      </c>
      <c r="I1140" s="3"/>
      <c r="J1140" t="str">
        <f t="shared" si="371"/>
        <v>VERIZON NEW ENGLAND INC</v>
      </c>
      <c r="K1140" t="str">
        <f>""</f>
        <v/>
      </c>
      <c r="L1140" s="2" t="str">
        <f>"ACCT: 401 243 2300 811 005 4 - JAN 2015 MONTHLY PAYMENT FOR PHONE LINES AT 180 SOUTH MAIN STREET"</f>
        <v>ACCT: 401 243 2300 811 005 4 - JAN 2015 MONTHLY PAYMENT FOR PHONE LINES AT 180 SOUTH MAIN STREET</v>
      </c>
      <c r="M1140" t="str">
        <f t="shared" si="372"/>
        <v>SVALLANT</v>
      </c>
    </row>
    <row r="1141" spans="1:13" ht="30" x14ac:dyDescent="0.25">
      <c r="A1141" t="str">
        <f t="shared" si="366"/>
        <v>10</v>
      </c>
      <c r="B1141" t="str">
        <f t="shared" si="367"/>
        <v>066</v>
      </c>
      <c r="C1141" t="str">
        <f t="shared" si="368"/>
        <v>3010106</v>
      </c>
      <c r="D1141" t="str">
        <f t="shared" si="369"/>
        <v>03</v>
      </c>
      <c r="E1141" t="str">
        <f t="shared" si="370"/>
        <v>648100</v>
      </c>
      <c r="F1141" t="str">
        <f>"02/28/15"</f>
        <v>02/28/15</v>
      </c>
      <c r="G1141" t="str">
        <f>"1566SXA208"</f>
        <v>1566SXA208</v>
      </c>
      <c r="H1141" s="4">
        <v>81.790000000000006</v>
      </c>
      <c r="I1141" s="3"/>
      <c r="J1141" t="str">
        <f t="shared" si="371"/>
        <v>VERIZON NEW ENGLAND INC</v>
      </c>
      <c r="K1141" t="str">
        <f>""</f>
        <v/>
      </c>
      <c r="L1141" s="2" t="str">
        <f>"ACCT: 401 831 1058 807 005 7 - JAN 2015 MONTHLY PAYMENT FOR LINE AT 180 SOUTH MAIN STREET"</f>
        <v>ACCT: 401 831 1058 807 005 7 - JAN 2015 MONTHLY PAYMENT FOR LINE AT 180 SOUTH MAIN STREET</v>
      </c>
      <c r="M1141" t="str">
        <f t="shared" si="372"/>
        <v>SVALLANT</v>
      </c>
    </row>
    <row r="1142" spans="1:13" x14ac:dyDescent="0.25">
      <c r="A1142" t="str">
        <f t="shared" si="366"/>
        <v>10</v>
      </c>
      <c r="B1142" t="str">
        <f t="shared" si="367"/>
        <v>066</v>
      </c>
      <c r="C1142" t="str">
        <f t="shared" si="368"/>
        <v>3010106</v>
      </c>
      <c r="D1142" t="str">
        <f t="shared" si="369"/>
        <v>03</v>
      </c>
      <c r="E1142" t="str">
        <f t="shared" si="370"/>
        <v>648100</v>
      </c>
      <c r="F1142" t="str">
        <f>"02/28/17"</f>
        <v>02/28/17</v>
      </c>
      <c r="G1142" t="str">
        <f>"1766SXA0189"</f>
        <v>1766SXA0189</v>
      </c>
      <c r="H1142" s="4">
        <v>88.93</v>
      </c>
      <c r="I1142" s="3"/>
      <c r="J1142" t="str">
        <f t="shared" si="371"/>
        <v>VERIZON NEW ENGLAND INC</v>
      </c>
      <c r="K1142" t="str">
        <f>""</f>
        <v/>
      </c>
      <c r="L1142" s="2" t="str">
        <f>"ACCT: 401 831 1058 807 005 7 - JAN 2017 MONTHLY PAYMENT - 180 SOUTH MAIN STREET"</f>
        <v>ACCT: 401 831 1058 807 005 7 - JAN 2017 MONTHLY PAYMENT - 180 SOUTH MAIN STREET</v>
      </c>
      <c r="M1142" t="str">
        <f t="shared" si="372"/>
        <v>SVALLANT</v>
      </c>
    </row>
    <row r="1143" spans="1:13" x14ac:dyDescent="0.25">
      <c r="A1143" t="str">
        <f t="shared" si="366"/>
        <v>10</v>
      </c>
      <c r="B1143" t="str">
        <f t="shared" si="367"/>
        <v>066</v>
      </c>
      <c r="C1143" t="str">
        <f t="shared" si="368"/>
        <v>3010106</v>
      </c>
      <c r="D1143" t="str">
        <f t="shared" si="369"/>
        <v>03</v>
      </c>
      <c r="E1143" t="str">
        <f t="shared" si="370"/>
        <v>648100</v>
      </c>
      <c r="F1143" t="str">
        <f>"02/29/16"</f>
        <v>02/29/16</v>
      </c>
      <c r="G1143" t="str">
        <f>"1666SXA0212"</f>
        <v>1666SXA0212</v>
      </c>
      <c r="H1143" s="4">
        <v>85.21</v>
      </c>
      <c r="I1143" s="3"/>
      <c r="J1143" t="str">
        <f t="shared" si="371"/>
        <v>VERIZON NEW ENGLAND INC</v>
      </c>
      <c r="K1143" t="str">
        <f>""</f>
        <v/>
      </c>
      <c r="L1143" s="2" t="str">
        <f>"ACCT: 401 831 1058 807 005 7 - JAN 2016 MONTHLY PAYMENT FOR 180 SOUTH MAIN STREET"</f>
        <v>ACCT: 401 831 1058 807 005 7 - JAN 2016 MONTHLY PAYMENT FOR 180 SOUTH MAIN STREET</v>
      </c>
      <c r="M1143" t="str">
        <f t="shared" si="372"/>
        <v>SVALLANT</v>
      </c>
    </row>
    <row r="1144" spans="1:13" ht="30" x14ac:dyDescent="0.25">
      <c r="A1144" t="str">
        <f t="shared" si="366"/>
        <v>10</v>
      </c>
      <c r="B1144" t="str">
        <f t="shared" si="367"/>
        <v>066</v>
      </c>
      <c r="C1144" t="str">
        <f t="shared" si="368"/>
        <v>3010106</v>
      </c>
      <c r="D1144" t="str">
        <f t="shared" si="369"/>
        <v>03</v>
      </c>
      <c r="E1144" t="str">
        <f t="shared" si="370"/>
        <v>648100</v>
      </c>
      <c r="F1144" t="str">
        <f>"03/31/15"</f>
        <v>03/31/15</v>
      </c>
      <c r="G1144" t="str">
        <f>"1566SXA0245"</f>
        <v>1566SXA0245</v>
      </c>
      <c r="H1144" s="4">
        <v>81.8</v>
      </c>
      <c r="I1144" s="3"/>
      <c r="J1144" t="str">
        <f t="shared" si="371"/>
        <v>VERIZON NEW ENGLAND INC</v>
      </c>
      <c r="K1144" t="str">
        <f>""</f>
        <v/>
      </c>
      <c r="L1144" s="2" t="str">
        <f>"ACCT: 401 831 1058 807 005 7 - FEB 2015 MONTHLY PAYMENT FOR LINE AT 180 SOUTH MAIN BUILDING"</f>
        <v>ACCT: 401 831 1058 807 005 7 - FEB 2015 MONTHLY PAYMENT FOR LINE AT 180 SOUTH MAIN BUILDING</v>
      </c>
      <c r="M1144" t="str">
        <f t="shared" si="372"/>
        <v>SVALLANT</v>
      </c>
    </row>
    <row r="1145" spans="1:13" ht="30" x14ac:dyDescent="0.25">
      <c r="A1145" t="str">
        <f t="shared" si="366"/>
        <v>10</v>
      </c>
      <c r="B1145" t="str">
        <f t="shared" si="367"/>
        <v>066</v>
      </c>
      <c r="C1145" t="str">
        <f t="shared" si="368"/>
        <v>3010106</v>
      </c>
      <c r="D1145" t="str">
        <f t="shared" si="369"/>
        <v>03</v>
      </c>
      <c r="E1145" t="str">
        <f t="shared" si="370"/>
        <v>648100</v>
      </c>
      <c r="F1145" t="str">
        <f>"03/31/15"</f>
        <v>03/31/15</v>
      </c>
      <c r="G1145" t="str">
        <f>"1566SXA0264"</f>
        <v>1566SXA0264</v>
      </c>
      <c r="H1145" s="4">
        <v>1700.36</v>
      </c>
      <c r="I1145" s="3"/>
      <c r="J1145" t="str">
        <f t="shared" si="371"/>
        <v>VERIZON NEW ENGLAND INC</v>
      </c>
      <c r="K1145" t="str">
        <f>""</f>
        <v/>
      </c>
      <c r="L1145" s="2" t="str">
        <f>"ACCT: 401 243 2300 811 005 4 - MAR 2015 MONTHLY PAYMENT - 180 SOUTH MAIN STREET BUILDING"</f>
        <v>ACCT: 401 243 2300 811 005 4 - MAR 2015 MONTHLY PAYMENT - 180 SOUTH MAIN STREET BUILDING</v>
      </c>
      <c r="M1145" t="str">
        <f t="shared" si="372"/>
        <v>SVALLANT</v>
      </c>
    </row>
    <row r="1146" spans="1:13" x14ac:dyDescent="0.25">
      <c r="A1146" t="str">
        <f t="shared" si="366"/>
        <v>10</v>
      </c>
      <c r="B1146" t="str">
        <f t="shared" si="367"/>
        <v>066</v>
      </c>
      <c r="C1146" t="str">
        <f t="shared" si="368"/>
        <v>3010106</v>
      </c>
      <c r="D1146" t="str">
        <f t="shared" si="369"/>
        <v>03</v>
      </c>
      <c r="E1146" t="str">
        <f t="shared" si="370"/>
        <v>648100</v>
      </c>
      <c r="F1146" t="str">
        <f>"03/31/16"</f>
        <v>03/31/16</v>
      </c>
      <c r="G1146" t="str">
        <f>"1666SXA0243"</f>
        <v>1666SXA0243</v>
      </c>
      <c r="H1146" s="4">
        <v>86.48</v>
      </c>
      <c r="I1146" s="3"/>
      <c r="J1146" t="str">
        <f t="shared" si="371"/>
        <v>VERIZON NEW ENGLAND INC</v>
      </c>
      <c r="K1146" t="str">
        <f>""</f>
        <v/>
      </c>
      <c r="L1146" s="2" t="str">
        <f>"ACCT: 401 831 1058 807 005 7 - FEB 2016 MONTHLY PAYMENT"</f>
        <v>ACCT: 401 831 1058 807 005 7 - FEB 2016 MONTHLY PAYMENT</v>
      </c>
      <c r="M1146" t="str">
        <f t="shared" si="372"/>
        <v>SVALLANT</v>
      </c>
    </row>
    <row r="1147" spans="1:13" x14ac:dyDescent="0.25">
      <c r="A1147" t="str">
        <f t="shared" si="366"/>
        <v>10</v>
      </c>
      <c r="B1147" t="str">
        <f t="shared" si="367"/>
        <v>066</v>
      </c>
      <c r="C1147" t="str">
        <f t="shared" si="368"/>
        <v>3010106</v>
      </c>
      <c r="D1147" t="str">
        <f t="shared" si="369"/>
        <v>03</v>
      </c>
      <c r="E1147" t="str">
        <f t="shared" si="370"/>
        <v>648100</v>
      </c>
      <c r="F1147" t="str">
        <f>"03/31/17"</f>
        <v>03/31/17</v>
      </c>
      <c r="G1147" t="str">
        <f>"1766SXA0220"</f>
        <v>1766SXA0220</v>
      </c>
      <c r="H1147" s="4">
        <v>88.92</v>
      </c>
      <c r="I1147" s="3"/>
      <c r="J1147" t="str">
        <f t="shared" si="371"/>
        <v>VERIZON NEW ENGLAND INC</v>
      </c>
      <c r="K1147" t="str">
        <f>""</f>
        <v/>
      </c>
      <c r="L1147" s="2" t="str">
        <f>"ACCT: 401 831 1058 807 005 7 - FEB 2017 MONTHLY PAYMENT"</f>
        <v>ACCT: 401 831 1058 807 005 7 - FEB 2017 MONTHLY PAYMENT</v>
      </c>
      <c r="M1147" t="str">
        <f t="shared" si="372"/>
        <v>SVALLANT</v>
      </c>
    </row>
    <row r="1148" spans="1:13" x14ac:dyDescent="0.25">
      <c r="A1148" t="str">
        <f t="shared" si="366"/>
        <v>10</v>
      </c>
      <c r="B1148" t="str">
        <f t="shared" si="367"/>
        <v>066</v>
      </c>
      <c r="C1148" t="str">
        <f t="shared" si="368"/>
        <v>3010106</v>
      </c>
      <c r="D1148" t="str">
        <f t="shared" si="369"/>
        <v>03</v>
      </c>
      <c r="E1148" t="str">
        <f t="shared" si="370"/>
        <v>648100</v>
      </c>
      <c r="F1148" t="str">
        <f>"04/30/15"</f>
        <v>04/30/15</v>
      </c>
      <c r="G1148" t="str">
        <f>"1566SXA0271"</f>
        <v>1566SXA0271</v>
      </c>
      <c r="H1148" s="4">
        <v>81.8</v>
      </c>
      <c r="I1148" s="3"/>
      <c r="J1148" t="str">
        <f t="shared" si="371"/>
        <v>VERIZON NEW ENGLAND INC</v>
      </c>
      <c r="K1148" t="str">
        <f>""</f>
        <v/>
      </c>
      <c r="L1148" s="2" t="str">
        <f>"ACCT: 401 831 1058 807 005 7 - MAR 2015 MONTHLY PAYMENT"</f>
        <v>ACCT: 401 831 1058 807 005 7 - MAR 2015 MONTHLY PAYMENT</v>
      </c>
      <c r="M1148" t="str">
        <f t="shared" si="372"/>
        <v>SVALLANT</v>
      </c>
    </row>
    <row r="1149" spans="1:13" x14ac:dyDescent="0.25">
      <c r="A1149" t="str">
        <f t="shared" si="366"/>
        <v>10</v>
      </c>
      <c r="B1149" t="str">
        <f t="shared" si="367"/>
        <v>066</v>
      </c>
      <c r="C1149" t="str">
        <f t="shared" si="368"/>
        <v>3010106</v>
      </c>
      <c r="D1149" t="str">
        <f t="shared" si="369"/>
        <v>03</v>
      </c>
      <c r="E1149" t="str">
        <f t="shared" si="370"/>
        <v>648100</v>
      </c>
      <c r="F1149" t="str">
        <f>"04/30/15"</f>
        <v>04/30/15</v>
      </c>
      <c r="G1149" t="str">
        <f>"1566SXA0303"</f>
        <v>1566SXA0303</v>
      </c>
      <c r="H1149" s="4">
        <v>1728.05</v>
      </c>
      <c r="I1149" s="3"/>
      <c r="J1149" t="str">
        <f t="shared" si="371"/>
        <v>VERIZON NEW ENGLAND INC</v>
      </c>
      <c r="K1149" t="str">
        <f>""</f>
        <v/>
      </c>
      <c r="L1149" s="2" t="str">
        <f>"ACCT: 401 243 2300 811 005 4 - MAR 2015 MONTHLY PAYMENT - 180 SOUTH MAIN STREET"</f>
        <v>ACCT: 401 243 2300 811 005 4 - MAR 2015 MONTHLY PAYMENT - 180 SOUTH MAIN STREET</v>
      </c>
      <c r="M1149" t="str">
        <f t="shared" si="372"/>
        <v>SVALLANT</v>
      </c>
    </row>
    <row r="1150" spans="1:13" x14ac:dyDescent="0.25">
      <c r="A1150" t="str">
        <f t="shared" si="366"/>
        <v>10</v>
      </c>
      <c r="B1150" t="str">
        <f t="shared" si="367"/>
        <v>066</v>
      </c>
      <c r="C1150" t="str">
        <f t="shared" si="368"/>
        <v>3010106</v>
      </c>
      <c r="D1150" t="str">
        <f t="shared" si="369"/>
        <v>03</v>
      </c>
      <c r="E1150" t="str">
        <f t="shared" si="370"/>
        <v>648100</v>
      </c>
      <c r="F1150" t="str">
        <f>"04/30/16"</f>
        <v>04/30/16</v>
      </c>
      <c r="G1150" t="str">
        <f>"1666SXA0273"</f>
        <v>1666SXA0273</v>
      </c>
      <c r="H1150" s="4">
        <v>86.48</v>
      </c>
      <c r="I1150" s="3"/>
      <c r="J1150" t="str">
        <f t="shared" si="371"/>
        <v>VERIZON NEW ENGLAND INC</v>
      </c>
      <c r="K1150" t="str">
        <f>""</f>
        <v/>
      </c>
      <c r="L1150" s="2" t="str">
        <f>"ACCT: 401 831 1058 807 005 7 - MAR 2016 MONTHLY PAYMENT FOR"</f>
        <v>ACCT: 401 831 1058 807 005 7 - MAR 2016 MONTHLY PAYMENT FOR</v>
      </c>
      <c r="M1150" t="str">
        <f t="shared" si="372"/>
        <v>SVALLANT</v>
      </c>
    </row>
    <row r="1151" spans="1:13" x14ac:dyDescent="0.25">
      <c r="A1151" t="str">
        <f t="shared" si="366"/>
        <v>10</v>
      </c>
      <c r="B1151" t="str">
        <f t="shared" si="367"/>
        <v>066</v>
      </c>
      <c r="C1151" t="str">
        <f t="shared" si="368"/>
        <v>3010106</v>
      </c>
      <c r="D1151" t="str">
        <f t="shared" si="369"/>
        <v>03</v>
      </c>
      <c r="E1151" t="str">
        <f t="shared" si="370"/>
        <v>648100</v>
      </c>
      <c r="F1151" t="str">
        <f>"04/30/17"</f>
        <v>04/30/17</v>
      </c>
      <c r="G1151" t="str">
        <f>"1766SXA0258"</f>
        <v>1766SXA0258</v>
      </c>
      <c r="H1151" s="4">
        <v>88.92</v>
      </c>
      <c r="I1151" s="3"/>
      <c r="J1151" t="str">
        <f t="shared" si="371"/>
        <v>VERIZON NEW ENGLAND INC</v>
      </c>
      <c r="K1151" t="str">
        <f>""</f>
        <v/>
      </c>
      <c r="L1151" s="2" t="str">
        <f>"ACCT: 401 831 1058 807 005 7 - MAR 2017 MONTHLY PAYMENT"</f>
        <v>ACCT: 401 831 1058 807 005 7 - MAR 2017 MONTHLY PAYMENT</v>
      </c>
      <c r="M1151" t="str">
        <f t="shared" si="372"/>
        <v>SVALLANT</v>
      </c>
    </row>
    <row r="1152" spans="1:13" ht="30" x14ac:dyDescent="0.25">
      <c r="A1152" t="str">
        <f t="shared" si="366"/>
        <v>10</v>
      </c>
      <c r="B1152" t="str">
        <f t="shared" si="367"/>
        <v>066</v>
      </c>
      <c r="C1152" t="str">
        <f t="shared" si="368"/>
        <v>3010106</v>
      </c>
      <c r="D1152" t="str">
        <f t="shared" si="369"/>
        <v>03</v>
      </c>
      <c r="E1152" t="str">
        <f t="shared" si="370"/>
        <v>648100</v>
      </c>
      <c r="F1152" t="str">
        <f>"05/31/15"</f>
        <v>05/31/15</v>
      </c>
      <c r="G1152" t="str">
        <f>"1566SXA0328"</f>
        <v>1566SXA0328</v>
      </c>
      <c r="H1152" s="4">
        <v>1727.04</v>
      </c>
      <c r="I1152" s="3"/>
      <c r="J1152" t="str">
        <f t="shared" si="371"/>
        <v>VERIZON NEW ENGLAND INC</v>
      </c>
      <c r="K1152" t="str">
        <f>""</f>
        <v/>
      </c>
      <c r="L1152" s="2" t="str">
        <f>"ACCT: 401 243 2300 811 005 4 - APR 2015 MONTHLY PAYMENT - 180 SOUTH MAIN BUILDING PHONE LINES"</f>
        <v>ACCT: 401 243 2300 811 005 4 - APR 2015 MONTHLY PAYMENT - 180 SOUTH MAIN BUILDING PHONE LINES</v>
      </c>
      <c r="M1152" t="str">
        <f t="shared" si="372"/>
        <v>SVALLANT</v>
      </c>
    </row>
    <row r="1153" spans="1:13" x14ac:dyDescent="0.25">
      <c r="A1153" t="str">
        <f t="shared" si="366"/>
        <v>10</v>
      </c>
      <c r="B1153" t="str">
        <f t="shared" si="367"/>
        <v>066</v>
      </c>
      <c r="C1153" t="str">
        <f t="shared" si="368"/>
        <v>3010106</v>
      </c>
      <c r="D1153" t="str">
        <f t="shared" si="369"/>
        <v>03</v>
      </c>
      <c r="E1153" t="str">
        <f t="shared" si="370"/>
        <v>648100</v>
      </c>
      <c r="F1153" t="str">
        <f>"05/31/15"</f>
        <v>05/31/15</v>
      </c>
      <c r="G1153" t="str">
        <f>"1566SXA0333"</f>
        <v>1566SXA0333</v>
      </c>
      <c r="H1153" s="4">
        <v>81.84</v>
      </c>
      <c r="I1153" s="3"/>
      <c r="J1153" t="str">
        <f t="shared" si="371"/>
        <v>VERIZON NEW ENGLAND INC</v>
      </c>
      <c r="K1153" t="str">
        <f>""</f>
        <v/>
      </c>
      <c r="L1153" s="2" t="str">
        <f>"ACCT: 401 831 1058 807 005 7 - APR 2015 MONTHLY PAYMENT"</f>
        <v>ACCT: 401 831 1058 807 005 7 - APR 2015 MONTHLY PAYMENT</v>
      </c>
      <c r="M1153" t="str">
        <f t="shared" si="372"/>
        <v>SVALLANT</v>
      </c>
    </row>
    <row r="1154" spans="1:13" x14ac:dyDescent="0.25">
      <c r="A1154" t="str">
        <f t="shared" si="366"/>
        <v>10</v>
      </c>
      <c r="B1154" t="str">
        <f t="shared" si="367"/>
        <v>066</v>
      </c>
      <c r="C1154" t="str">
        <f t="shared" si="368"/>
        <v>3010106</v>
      </c>
      <c r="D1154" t="str">
        <f t="shared" si="369"/>
        <v>03</v>
      </c>
      <c r="E1154" t="str">
        <f t="shared" si="370"/>
        <v>648100</v>
      </c>
      <c r="F1154" t="str">
        <f>"05/31/16"</f>
        <v>05/31/16</v>
      </c>
      <c r="G1154" t="str">
        <f>"1666SXA0291"</f>
        <v>1666SXA0291</v>
      </c>
      <c r="H1154" s="4">
        <v>85.21</v>
      </c>
      <c r="I1154" s="3"/>
      <c r="J1154" t="str">
        <f t="shared" si="371"/>
        <v>VERIZON NEW ENGLAND INC</v>
      </c>
      <c r="K1154" t="str">
        <f>""</f>
        <v/>
      </c>
      <c r="L1154" s="2" t="str">
        <f>"ACCT: 401 841 1058 807 005 7 - APR 2016  MONTHLY PAYMENT"</f>
        <v>ACCT: 401 841 1058 807 005 7 - APR 2016  MONTHLY PAYMENT</v>
      </c>
      <c r="M1154" t="str">
        <f t="shared" si="372"/>
        <v>SVALLANT</v>
      </c>
    </row>
    <row r="1155" spans="1:13" x14ac:dyDescent="0.25">
      <c r="A1155" t="str">
        <f t="shared" si="366"/>
        <v>10</v>
      </c>
      <c r="B1155" t="str">
        <f t="shared" si="367"/>
        <v>066</v>
      </c>
      <c r="C1155" t="str">
        <f t="shared" si="368"/>
        <v>3010106</v>
      </c>
      <c r="D1155" t="str">
        <f t="shared" si="369"/>
        <v>03</v>
      </c>
      <c r="E1155" t="str">
        <f t="shared" si="370"/>
        <v>648100</v>
      </c>
      <c r="F1155" t="str">
        <f>"05/31/17"</f>
        <v>05/31/17</v>
      </c>
      <c r="G1155" t="str">
        <f>"1766SXA0285"</f>
        <v>1766SXA0285</v>
      </c>
      <c r="H1155" s="4">
        <v>88.97</v>
      </c>
      <c r="I1155" s="3"/>
      <c r="J1155" t="str">
        <f t="shared" si="371"/>
        <v>VERIZON NEW ENGLAND INC</v>
      </c>
      <c r="K1155" t="str">
        <f>""</f>
        <v/>
      </c>
      <c r="L1155" s="2" t="str">
        <f>"ACCT: 401 831 1058 807 005 7 - APR 2017 MONTHLY PAYMENT"</f>
        <v>ACCT: 401 831 1058 807 005 7 - APR 2017 MONTHLY PAYMENT</v>
      </c>
      <c r="M1155" t="str">
        <f t="shared" si="372"/>
        <v>SVALLANT</v>
      </c>
    </row>
    <row r="1156" spans="1:13" ht="30" x14ac:dyDescent="0.25">
      <c r="A1156" t="str">
        <f t="shared" si="366"/>
        <v>10</v>
      </c>
      <c r="B1156" t="str">
        <f t="shared" si="367"/>
        <v>066</v>
      </c>
      <c r="C1156" t="str">
        <f t="shared" si="368"/>
        <v>3010106</v>
      </c>
      <c r="D1156" t="str">
        <f t="shared" si="369"/>
        <v>03</v>
      </c>
      <c r="E1156" t="str">
        <f t="shared" si="370"/>
        <v>648100</v>
      </c>
      <c r="F1156" t="str">
        <f>"06/30/14"</f>
        <v>06/30/14</v>
      </c>
      <c r="G1156" t="str">
        <f>"1466SXA0420"</f>
        <v>1466SXA0420</v>
      </c>
      <c r="H1156" s="4">
        <v>348.58</v>
      </c>
      <c r="I1156" s="3"/>
      <c r="J1156" t="str">
        <f t="shared" si="371"/>
        <v>VERIZON NEW ENGLAND INC</v>
      </c>
      <c r="K1156" t="str">
        <f>""</f>
        <v/>
      </c>
      <c r="L1156" s="2" t="str">
        <f>"ACCT: 401 831 1058 807 005 7 - 2/14/14-6/24/14 PAYMENT FOR 180 SOUTH MAIN STREET ALARM - SEE NOTE ATTACHED"</f>
        <v>ACCT: 401 831 1058 807 005 7 - 2/14/14-6/24/14 PAYMENT FOR 180 SOUTH MAIN STREET ALARM - SEE NOTE ATTACHED</v>
      </c>
      <c r="M1156" t="str">
        <f t="shared" si="372"/>
        <v>SVALLANT</v>
      </c>
    </row>
    <row r="1157" spans="1:13" ht="30" x14ac:dyDescent="0.25">
      <c r="A1157" t="str">
        <f t="shared" si="366"/>
        <v>10</v>
      </c>
      <c r="B1157" t="str">
        <f t="shared" si="367"/>
        <v>066</v>
      </c>
      <c r="C1157" t="str">
        <f t="shared" si="368"/>
        <v>3010106</v>
      </c>
      <c r="D1157" t="str">
        <f t="shared" si="369"/>
        <v>03</v>
      </c>
      <c r="E1157" t="str">
        <f t="shared" si="370"/>
        <v>648100</v>
      </c>
      <c r="F1157" t="str">
        <f>"06/30/15"</f>
        <v>06/30/15</v>
      </c>
      <c r="G1157" t="str">
        <f>"1566SXA0357"</f>
        <v>1566SXA0357</v>
      </c>
      <c r="H1157" s="4">
        <v>81.849999999999994</v>
      </c>
      <c r="I1157" s="3"/>
      <c r="J1157" t="str">
        <f t="shared" si="371"/>
        <v>VERIZON NEW ENGLAND INC</v>
      </c>
      <c r="K1157" t="str">
        <f>""</f>
        <v/>
      </c>
      <c r="L1157" s="2" t="str">
        <f>"ACCT: 401 831 1058 807 005 7 - MAY 2015 MONTHLY PAYMENT - 180 SOUTH MAIN STREET BUILDING"</f>
        <v>ACCT: 401 831 1058 807 005 7 - MAY 2015 MONTHLY PAYMENT - 180 SOUTH MAIN STREET BUILDING</v>
      </c>
      <c r="M1157" t="str">
        <f t="shared" si="372"/>
        <v>SVALLANT</v>
      </c>
    </row>
    <row r="1158" spans="1:13" ht="30" x14ac:dyDescent="0.25">
      <c r="A1158" t="str">
        <f t="shared" si="366"/>
        <v>10</v>
      </c>
      <c r="B1158" t="str">
        <f t="shared" si="367"/>
        <v>066</v>
      </c>
      <c r="C1158" t="str">
        <f t="shared" si="368"/>
        <v>3010106</v>
      </c>
      <c r="D1158" t="str">
        <f t="shared" si="369"/>
        <v>03</v>
      </c>
      <c r="E1158" t="str">
        <f t="shared" si="370"/>
        <v>648100</v>
      </c>
      <c r="F1158" t="str">
        <f>"06/30/15"</f>
        <v>06/30/15</v>
      </c>
      <c r="G1158" t="str">
        <f>"1566SXA0393"</f>
        <v>1566SXA0393</v>
      </c>
      <c r="H1158" s="4">
        <v>775.96</v>
      </c>
      <c r="I1158" s="3"/>
      <c r="J1158" t="str">
        <f t="shared" si="371"/>
        <v>VERIZON NEW ENGLAND INC</v>
      </c>
      <c r="K1158" t="str">
        <f>""</f>
        <v/>
      </c>
      <c r="L1158" s="2" t="str">
        <f>"ACCT: 401 243 2300 811 005 4 - MAY 2015 MONTHLY PAYMENT FOR 180 SOUTH MAIN STREET PHONE LINE"</f>
        <v>ACCT: 401 243 2300 811 005 4 - MAY 2015 MONTHLY PAYMENT FOR 180 SOUTH MAIN STREET PHONE LINE</v>
      </c>
      <c r="M1158" t="str">
        <f t="shared" si="372"/>
        <v>SVALLANT</v>
      </c>
    </row>
    <row r="1159" spans="1:13" x14ac:dyDescent="0.25">
      <c r="A1159" t="str">
        <f t="shared" si="366"/>
        <v>10</v>
      </c>
      <c r="B1159" t="str">
        <f t="shared" si="367"/>
        <v>066</v>
      </c>
      <c r="C1159" t="str">
        <f t="shared" si="368"/>
        <v>3010106</v>
      </c>
      <c r="D1159" t="str">
        <f t="shared" si="369"/>
        <v>03</v>
      </c>
      <c r="E1159" t="str">
        <f t="shared" si="370"/>
        <v>648100</v>
      </c>
      <c r="F1159" t="str">
        <f>"06/30/15"</f>
        <v>06/30/15</v>
      </c>
      <c r="G1159" t="str">
        <f>"1566SXA0407"</f>
        <v>1566SXA0407</v>
      </c>
      <c r="H1159" s="4">
        <v>81.849999999999994</v>
      </c>
      <c r="I1159" s="3"/>
      <c r="J1159" t="str">
        <f t="shared" si="371"/>
        <v>VERIZON NEW ENGLAND INC</v>
      </c>
      <c r="K1159" t="str">
        <f>""</f>
        <v/>
      </c>
      <c r="L1159" s="2" t="str">
        <f>"ACCT: 401 831 1058 807 005 7 - JUN 2015 MONTHLY PAYMENT FOR 180 SOUTH MAIN STREET"</f>
        <v>ACCT: 401 831 1058 807 005 7 - JUN 2015 MONTHLY PAYMENT FOR 180 SOUTH MAIN STREET</v>
      </c>
      <c r="M1159" t="str">
        <f t="shared" si="372"/>
        <v>SVALLANT</v>
      </c>
    </row>
    <row r="1160" spans="1:13" x14ac:dyDescent="0.25">
      <c r="A1160" t="str">
        <f t="shared" si="366"/>
        <v>10</v>
      </c>
      <c r="B1160" t="str">
        <f t="shared" si="367"/>
        <v>066</v>
      </c>
      <c r="C1160" t="str">
        <f t="shared" si="368"/>
        <v>3010106</v>
      </c>
      <c r="D1160" t="str">
        <f t="shared" si="369"/>
        <v>03</v>
      </c>
      <c r="E1160" t="str">
        <f t="shared" si="370"/>
        <v>648100</v>
      </c>
      <c r="F1160" t="str">
        <f>"06/30/16"</f>
        <v>06/30/16</v>
      </c>
      <c r="G1160" t="str">
        <f>"1666SXA0332"</f>
        <v>1666SXA0332</v>
      </c>
      <c r="H1160" s="4">
        <v>85.2</v>
      </c>
      <c r="I1160" s="3"/>
      <c r="J1160" t="str">
        <f t="shared" si="371"/>
        <v>VERIZON NEW ENGLAND INC</v>
      </c>
      <c r="K1160" t="str">
        <f>""</f>
        <v/>
      </c>
      <c r="L1160" s="2" t="str">
        <f>"ACCT: 401 831 1058 807 005 7 - MAY 2016 MONTHLY PAYMENT"</f>
        <v>ACCT: 401 831 1058 807 005 7 - MAY 2016 MONTHLY PAYMENT</v>
      </c>
      <c r="M1160" t="str">
        <f t="shared" si="372"/>
        <v>SVALLANT</v>
      </c>
    </row>
    <row r="1161" spans="1:13" ht="30" x14ac:dyDescent="0.25">
      <c r="A1161" t="str">
        <f t="shared" si="366"/>
        <v>10</v>
      </c>
      <c r="B1161" t="str">
        <f t="shared" si="367"/>
        <v>066</v>
      </c>
      <c r="C1161" t="str">
        <f t="shared" si="368"/>
        <v>3010106</v>
      </c>
      <c r="D1161" t="str">
        <f t="shared" si="369"/>
        <v>03</v>
      </c>
      <c r="E1161" t="str">
        <f t="shared" si="370"/>
        <v>648100</v>
      </c>
      <c r="F1161" t="str">
        <f>"06/30/16"</f>
        <v>06/30/16</v>
      </c>
      <c r="G1161" t="str">
        <f>"1666SXA0362"</f>
        <v>1666SXA0362</v>
      </c>
      <c r="H1161" s="4">
        <v>85.2</v>
      </c>
      <c r="I1161" s="3"/>
      <c r="J1161" t="str">
        <f t="shared" si="371"/>
        <v>VERIZON NEW ENGLAND INC</v>
      </c>
      <c r="K1161" t="str">
        <f>""</f>
        <v/>
      </c>
      <c r="L1161" s="2" t="str">
        <f>"ACCT: 401 831 1058 807 005 7 - JUN 2016 MONTHLY PAYMENT FOR LINE AT 180 SOUTH MAIN STREET"</f>
        <v>ACCT: 401 831 1058 807 005 7 - JUN 2016 MONTHLY PAYMENT FOR LINE AT 180 SOUTH MAIN STREET</v>
      </c>
      <c r="M1161" t="str">
        <f t="shared" si="372"/>
        <v>SVALLANT</v>
      </c>
    </row>
    <row r="1162" spans="1:13" x14ac:dyDescent="0.25">
      <c r="A1162" t="str">
        <f t="shared" si="366"/>
        <v>10</v>
      </c>
      <c r="B1162" t="str">
        <f t="shared" si="367"/>
        <v>066</v>
      </c>
      <c r="C1162" t="str">
        <f t="shared" si="368"/>
        <v>3010106</v>
      </c>
      <c r="D1162" t="str">
        <f t="shared" si="369"/>
        <v>03</v>
      </c>
      <c r="E1162" t="str">
        <f t="shared" si="370"/>
        <v>648100</v>
      </c>
      <c r="F1162" t="str">
        <f>"06/30/17"</f>
        <v>06/30/17</v>
      </c>
      <c r="G1162" t="str">
        <f>"1766SXA0323"</f>
        <v>1766SXA0323</v>
      </c>
      <c r="H1162" s="4">
        <v>88.98</v>
      </c>
      <c r="I1162" s="3"/>
      <c r="J1162" t="str">
        <f t="shared" si="371"/>
        <v>VERIZON NEW ENGLAND INC</v>
      </c>
      <c r="K1162" t="str">
        <f>""</f>
        <v/>
      </c>
      <c r="L1162" s="2" t="str">
        <f>"ACCT: 401 831 1058 807 005 7 - MAY 2017 MONTHLY PAYMENT"</f>
        <v>ACCT: 401 831 1058 807 005 7 - MAY 2017 MONTHLY PAYMENT</v>
      </c>
      <c r="M1162" t="str">
        <f t="shared" si="372"/>
        <v>SVALLANT</v>
      </c>
    </row>
    <row r="1163" spans="1:13" x14ac:dyDescent="0.25">
      <c r="A1163" t="str">
        <f t="shared" si="366"/>
        <v>10</v>
      </c>
      <c r="B1163" t="str">
        <f t="shared" si="367"/>
        <v>066</v>
      </c>
      <c r="C1163" t="str">
        <f t="shared" si="368"/>
        <v>3010106</v>
      </c>
      <c r="D1163" t="str">
        <f t="shared" si="369"/>
        <v>03</v>
      </c>
      <c r="E1163" t="str">
        <f t="shared" si="370"/>
        <v>648100</v>
      </c>
      <c r="F1163" t="str">
        <f>"06/30/17"</f>
        <v>06/30/17</v>
      </c>
      <c r="G1163" t="str">
        <f>"1766SXA0367"</f>
        <v>1766SXA0367</v>
      </c>
      <c r="H1163" s="4">
        <v>88.98</v>
      </c>
      <c r="I1163" s="3"/>
      <c r="J1163" t="str">
        <f t="shared" si="371"/>
        <v>VERIZON NEW ENGLAND INC</v>
      </c>
      <c r="K1163" t="str">
        <f>""</f>
        <v/>
      </c>
      <c r="L1163" s="2" t="str">
        <f>"ACCT: 401 831 1058 807 005 7 - JUN 2017 MONTHLY PAYMENT"</f>
        <v>ACCT: 401 831 1058 807 005 7 - JUN 2017 MONTHLY PAYMENT</v>
      </c>
      <c r="M1163" t="str">
        <f t="shared" si="372"/>
        <v>SVALLANT</v>
      </c>
    </row>
    <row r="1164" spans="1:13" ht="30" x14ac:dyDescent="0.25">
      <c r="A1164" t="str">
        <f t="shared" si="366"/>
        <v>10</v>
      </c>
      <c r="B1164" t="str">
        <f t="shared" si="367"/>
        <v>066</v>
      </c>
      <c r="C1164" t="str">
        <f t="shared" si="368"/>
        <v>3010106</v>
      </c>
      <c r="D1164" t="str">
        <f t="shared" si="369"/>
        <v>03</v>
      </c>
      <c r="E1164" t="str">
        <f t="shared" si="370"/>
        <v>648100</v>
      </c>
      <c r="F1164" t="str">
        <f>"08/31/14"</f>
        <v>08/31/14</v>
      </c>
      <c r="G1164" t="str">
        <f>"1566SXA0019"</f>
        <v>1566SXA0019</v>
      </c>
      <c r="H1164" s="4">
        <v>79.53</v>
      </c>
      <c r="I1164" s="3"/>
      <c r="J1164" t="str">
        <f t="shared" si="371"/>
        <v>VERIZON NEW ENGLAND INC</v>
      </c>
      <c r="K1164" t="str">
        <f>""</f>
        <v/>
      </c>
      <c r="L1164" s="2" t="str">
        <f>"ACCT: 401 831 1058 807 005 7 - JULY 2014 MONTHLY PAYMENT FOR SECURITY LINE AT 180 SOUTH MAIN STREET BUILDING"</f>
        <v>ACCT: 401 831 1058 807 005 7 - JULY 2014 MONTHLY PAYMENT FOR SECURITY LINE AT 180 SOUTH MAIN STREET BUILDING</v>
      </c>
      <c r="M1164" t="str">
        <f t="shared" si="372"/>
        <v>SVALLANT</v>
      </c>
    </row>
    <row r="1165" spans="1:13" x14ac:dyDescent="0.25">
      <c r="A1165" t="str">
        <f t="shared" si="366"/>
        <v>10</v>
      </c>
      <c r="B1165" t="str">
        <f t="shared" si="367"/>
        <v>066</v>
      </c>
      <c r="C1165" t="str">
        <f t="shared" si="368"/>
        <v>3010106</v>
      </c>
      <c r="D1165" t="str">
        <f t="shared" si="369"/>
        <v>03</v>
      </c>
      <c r="E1165" t="str">
        <f t="shared" si="370"/>
        <v>648100</v>
      </c>
      <c r="F1165" t="str">
        <f>"08/31/15"</f>
        <v>08/31/15</v>
      </c>
      <c r="G1165" t="str">
        <f>"1666SXA0023"</f>
        <v>1666SXA0023</v>
      </c>
      <c r="H1165" s="4">
        <v>82.09</v>
      </c>
      <c r="I1165" s="3"/>
      <c r="J1165" t="str">
        <f t="shared" si="371"/>
        <v>VERIZON NEW ENGLAND INC</v>
      </c>
      <c r="K1165" t="str">
        <f>""</f>
        <v/>
      </c>
      <c r="L1165" s="2" t="str">
        <f>"ACCT: 401 831 1058 807 005 7 -  JULY 2015 MONTHLY PAYMENT FOR 180 SOUTH MAIN STREET"</f>
        <v>ACCT: 401 831 1058 807 005 7 -  JULY 2015 MONTHLY PAYMENT FOR 180 SOUTH MAIN STREET</v>
      </c>
      <c r="M1165" t="str">
        <f t="shared" si="372"/>
        <v>SVALLANT</v>
      </c>
    </row>
    <row r="1166" spans="1:13" ht="30" x14ac:dyDescent="0.25">
      <c r="A1166" t="str">
        <f t="shared" si="366"/>
        <v>10</v>
      </c>
      <c r="B1166" t="str">
        <f t="shared" si="367"/>
        <v>066</v>
      </c>
      <c r="C1166" t="str">
        <f t="shared" si="368"/>
        <v>3010106</v>
      </c>
      <c r="D1166" t="str">
        <f t="shared" si="369"/>
        <v>03</v>
      </c>
      <c r="E1166" t="str">
        <f t="shared" si="370"/>
        <v>648100</v>
      </c>
      <c r="F1166" t="str">
        <f>"08/31/15"</f>
        <v>08/31/15</v>
      </c>
      <c r="G1166" t="str">
        <f>"1666SXA0043"</f>
        <v>1666SXA0043</v>
      </c>
      <c r="H1166" s="4">
        <v>83.37</v>
      </c>
      <c r="I1166" s="3"/>
      <c r="J1166" t="str">
        <f t="shared" si="371"/>
        <v>VERIZON NEW ENGLAND INC</v>
      </c>
      <c r="K1166" t="str">
        <f>""</f>
        <v/>
      </c>
      <c r="L1166" s="2" t="str">
        <f>"ACCT: 401 831 1058 807 005 7 - AUG 2015 MONTHLY PAYMENT - 180 SOUTH MAIN STREET SECURITY LINE"</f>
        <v>ACCT: 401 831 1058 807 005 7 - AUG 2015 MONTHLY PAYMENT - 180 SOUTH MAIN STREET SECURITY LINE</v>
      </c>
      <c r="M1166" t="str">
        <f t="shared" si="372"/>
        <v>SVALLANT</v>
      </c>
    </row>
    <row r="1167" spans="1:13" x14ac:dyDescent="0.25">
      <c r="A1167" t="str">
        <f t="shared" si="366"/>
        <v>10</v>
      </c>
      <c r="B1167" t="str">
        <f t="shared" si="367"/>
        <v>066</v>
      </c>
      <c r="C1167" t="str">
        <f t="shared" si="368"/>
        <v>3010106</v>
      </c>
      <c r="D1167" t="str">
        <f t="shared" si="369"/>
        <v>03</v>
      </c>
      <c r="E1167" t="str">
        <f t="shared" si="370"/>
        <v>648100</v>
      </c>
      <c r="F1167" t="str">
        <f>"08/31/16"</f>
        <v>08/31/16</v>
      </c>
      <c r="G1167" t="str">
        <f>"1766SXA0014"</f>
        <v>1766SXA0014</v>
      </c>
      <c r="H1167" s="4">
        <v>85.23</v>
      </c>
      <c r="I1167" s="3"/>
      <c r="J1167" t="str">
        <f t="shared" si="371"/>
        <v>VERIZON NEW ENGLAND INC</v>
      </c>
      <c r="K1167" t="str">
        <f>""</f>
        <v/>
      </c>
      <c r="L1167" s="2" t="str">
        <f>"ACCT: 401 831 1058 807 005 7 - JULY 2016 MONTHLY PAYMENT - 180 SOUTH MAIN"</f>
        <v>ACCT: 401 831 1058 807 005 7 - JULY 2016 MONTHLY PAYMENT - 180 SOUTH MAIN</v>
      </c>
      <c r="M1167" t="str">
        <f t="shared" si="372"/>
        <v>SVALLANT</v>
      </c>
    </row>
    <row r="1168" spans="1:13" x14ac:dyDescent="0.25">
      <c r="A1168" t="str">
        <f t="shared" si="366"/>
        <v>10</v>
      </c>
      <c r="B1168" t="str">
        <f t="shared" si="367"/>
        <v>066</v>
      </c>
      <c r="C1168" t="str">
        <f t="shared" si="368"/>
        <v>3010106</v>
      </c>
      <c r="D1168" t="str">
        <f t="shared" si="369"/>
        <v>03</v>
      </c>
      <c r="E1168" t="str">
        <f t="shared" si="370"/>
        <v>648100</v>
      </c>
      <c r="F1168" t="str">
        <f>"09/30/14"</f>
        <v>09/30/14</v>
      </c>
      <c r="G1168" t="str">
        <f>"1566SXA0052"</f>
        <v>1566SXA0052</v>
      </c>
      <c r="H1168" s="4">
        <v>79.56</v>
      </c>
      <c r="I1168" s="3"/>
      <c r="J1168" t="str">
        <f t="shared" si="371"/>
        <v>VERIZON NEW ENGLAND INC</v>
      </c>
      <c r="K1168" t="str">
        <f>""</f>
        <v/>
      </c>
      <c r="L1168" s="2" t="str">
        <f>"ACCT: 401 831 1058 807 005 7 - AUG 2014 MONTHLY PAYMENT FOR 180 SOUTH MAIN STREET"</f>
        <v>ACCT: 401 831 1058 807 005 7 - AUG 2014 MONTHLY PAYMENT FOR 180 SOUTH MAIN STREET</v>
      </c>
      <c r="M1168" t="str">
        <f t="shared" si="372"/>
        <v>SVALLANT</v>
      </c>
    </row>
    <row r="1169" spans="1:13" x14ac:dyDescent="0.25">
      <c r="A1169" t="str">
        <f t="shared" si="366"/>
        <v>10</v>
      </c>
      <c r="B1169" t="str">
        <f t="shared" si="367"/>
        <v>066</v>
      </c>
      <c r="C1169" t="str">
        <f t="shared" si="368"/>
        <v>3010106</v>
      </c>
      <c r="D1169" t="str">
        <f t="shared" si="369"/>
        <v>03</v>
      </c>
      <c r="E1169" t="str">
        <f t="shared" si="370"/>
        <v>648100</v>
      </c>
      <c r="F1169" t="str">
        <f>"09/30/16"</f>
        <v>09/30/16</v>
      </c>
      <c r="G1169" t="str">
        <f>"1766SXA0038"</f>
        <v>1766SXA0038</v>
      </c>
      <c r="H1169" s="4">
        <v>85.23</v>
      </c>
      <c r="I1169" s="3"/>
      <c r="J1169" t="str">
        <f t="shared" si="371"/>
        <v>VERIZON NEW ENGLAND INC</v>
      </c>
      <c r="K1169" t="str">
        <f>""</f>
        <v/>
      </c>
      <c r="L1169" s="2" t="str">
        <f>"ACCT: 401 831 1058 807 005 7 - AUG 2016 MONTHLY PAYMENT"</f>
        <v>ACCT: 401 831 1058 807 005 7 - AUG 2016 MONTHLY PAYMENT</v>
      </c>
      <c r="M1169" t="str">
        <f t="shared" si="372"/>
        <v>SVALLANT</v>
      </c>
    </row>
    <row r="1170" spans="1:13" ht="30" x14ac:dyDescent="0.25">
      <c r="A1170" t="str">
        <f t="shared" si="366"/>
        <v>10</v>
      </c>
      <c r="B1170" t="str">
        <f t="shared" si="367"/>
        <v>066</v>
      </c>
      <c r="C1170" t="str">
        <f t="shared" si="368"/>
        <v>3010106</v>
      </c>
      <c r="D1170" t="str">
        <f t="shared" si="369"/>
        <v>03</v>
      </c>
      <c r="E1170" t="str">
        <f t="shared" si="370"/>
        <v>648100</v>
      </c>
      <c r="F1170" t="str">
        <f>"10/31/14"</f>
        <v>10/31/14</v>
      </c>
      <c r="G1170" t="str">
        <f>"1566SXA0091"</f>
        <v>1566SXA0091</v>
      </c>
      <c r="H1170" s="4">
        <v>79.56</v>
      </c>
      <c r="I1170" s="3"/>
      <c r="J1170" t="str">
        <f t="shared" si="371"/>
        <v>VERIZON NEW ENGLAND INC</v>
      </c>
      <c r="K1170" t="str">
        <f>""</f>
        <v/>
      </c>
      <c r="L1170" s="2" t="str">
        <f>"ACCT: 401 831 1058 807 005 7 - SEPT 2014 MONTHLY SECURITY LINE AT 180 SOUTH MAIN STREET"</f>
        <v>ACCT: 401 831 1058 807 005 7 - SEPT 2014 MONTHLY SECURITY LINE AT 180 SOUTH MAIN STREET</v>
      </c>
      <c r="M1170" t="str">
        <f t="shared" si="372"/>
        <v>SVALLANT</v>
      </c>
    </row>
    <row r="1171" spans="1:13" ht="30" x14ac:dyDescent="0.25">
      <c r="A1171" t="str">
        <f t="shared" si="366"/>
        <v>10</v>
      </c>
      <c r="B1171" t="str">
        <f t="shared" si="367"/>
        <v>066</v>
      </c>
      <c r="C1171" t="str">
        <f t="shared" si="368"/>
        <v>3010106</v>
      </c>
      <c r="D1171" t="str">
        <f t="shared" si="369"/>
        <v>03</v>
      </c>
      <c r="E1171" t="str">
        <f t="shared" si="370"/>
        <v>648100</v>
      </c>
      <c r="F1171" t="str">
        <f>"10/31/15"</f>
        <v>10/31/15</v>
      </c>
      <c r="G1171" t="str">
        <f>"1666SXA0087"</f>
        <v>1666SXA0087</v>
      </c>
      <c r="H1171" s="4">
        <v>83.39</v>
      </c>
      <c r="I1171" s="3"/>
      <c r="J1171" t="str">
        <f t="shared" si="371"/>
        <v>VERIZON NEW ENGLAND INC</v>
      </c>
      <c r="K1171" t="str">
        <f>""</f>
        <v/>
      </c>
      <c r="L1171" s="2" t="str">
        <f>"ACCT: 401 831 1058 807 005 7 - SEPT 2015 MONTHLY PAYMENT FOR 180 SOUTH MAIN STREET SECURITY LINE"</f>
        <v>ACCT: 401 831 1058 807 005 7 - SEPT 2015 MONTHLY PAYMENT FOR 180 SOUTH MAIN STREET SECURITY LINE</v>
      </c>
      <c r="M1171" t="str">
        <f t="shared" si="372"/>
        <v>SVALLANT</v>
      </c>
    </row>
    <row r="1172" spans="1:13" x14ac:dyDescent="0.25">
      <c r="A1172" t="str">
        <f t="shared" si="366"/>
        <v>10</v>
      </c>
      <c r="B1172" t="str">
        <f t="shared" si="367"/>
        <v>066</v>
      </c>
      <c r="C1172" t="str">
        <f t="shared" si="368"/>
        <v>3010106</v>
      </c>
      <c r="D1172" t="str">
        <f t="shared" si="369"/>
        <v>03</v>
      </c>
      <c r="E1172" t="str">
        <f t="shared" si="370"/>
        <v>648100</v>
      </c>
      <c r="F1172" t="str">
        <f>"10/31/16"</f>
        <v>10/31/16</v>
      </c>
      <c r="G1172" t="str">
        <f>"1766SXA0068"</f>
        <v>1766SXA0068</v>
      </c>
      <c r="H1172" s="4">
        <v>85.23</v>
      </c>
      <c r="I1172" s="3"/>
      <c r="J1172" t="str">
        <f t="shared" si="371"/>
        <v>VERIZON NEW ENGLAND INC</v>
      </c>
      <c r="K1172" t="str">
        <f>""</f>
        <v/>
      </c>
      <c r="L1172" s="2" t="str">
        <f>"ACCT: 401 831 1058 807 005 7 - SEPT 2016 MONTHLY PAYMENT"</f>
        <v>ACCT: 401 831 1058 807 005 7 - SEPT 2016 MONTHLY PAYMENT</v>
      </c>
      <c r="M1172" t="str">
        <f t="shared" si="372"/>
        <v>SVALLANT</v>
      </c>
    </row>
    <row r="1173" spans="1:13" ht="30" x14ac:dyDescent="0.25">
      <c r="A1173" t="str">
        <f t="shared" si="366"/>
        <v>10</v>
      </c>
      <c r="B1173" t="str">
        <f t="shared" si="367"/>
        <v>066</v>
      </c>
      <c r="C1173" t="str">
        <f t="shared" si="368"/>
        <v>3010106</v>
      </c>
      <c r="D1173" t="str">
        <f t="shared" si="369"/>
        <v>03</v>
      </c>
      <c r="E1173" t="str">
        <f t="shared" si="370"/>
        <v>648100</v>
      </c>
      <c r="F1173" t="str">
        <f>"11/30/14"</f>
        <v>11/30/14</v>
      </c>
      <c r="G1173" t="str">
        <f>"1566SXA0117"</f>
        <v>1566SXA0117</v>
      </c>
      <c r="H1173" s="4">
        <v>79.58</v>
      </c>
      <c r="I1173" s="3"/>
      <c r="J1173" t="str">
        <f t="shared" si="371"/>
        <v>VERIZON NEW ENGLAND INC</v>
      </c>
      <c r="K1173" t="str">
        <f>""</f>
        <v/>
      </c>
      <c r="L1173" s="2" t="str">
        <f>"ACCT: 401 831 1058 807 005 7 - OCT 2014 MONTHLY PAYMENT - SECURITY LINE AT 180 SOUTH MAIN STREET"</f>
        <v>ACCT: 401 831 1058 807 005 7 - OCT 2014 MONTHLY PAYMENT - SECURITY LINE AT 180 SOUTH MAIN STREET</v>
      </c>
      <c r="M1173" t="str">
        <f t="shared" si="372"/>
        <v>SVALLANT</v>
      </c>
    </row>
    <row r="1174" spans="1:13" x14ac:dyDescent="0.25">
      <c r="A1174" t="str">
        <f t="shared" si="366"/>
        <v>10</v>
      </c>
      <c r="B1174" t="str">
        <f t="shared" si="367"/>
        <v>066</v>
      </c>
      <c r="C1174" t="str">
        <f t="shared" si="368"/>
        <v>3010106</v>
      </c>
      <c r="D1174" t="str">
        <f t="shared" si="369"/>
        <v>03</v>
      </c>
      <c r="E1174" t="str">
        <f t="shared" si="370"/>
        <v>648100</v>
      </c>
      <c r="F1174" t="str">
        <f>"11/30/15"</f>
        <v>11/30/15</v>
      </c>
      <c r="G1174" t="str">
        <f>"1666SXA0113"</f>
        <v>1666SXA0113</v>
      </c>
      <c r="H1174" s="4">
        <v>86.37</v>
      </c>
      <c r="I1174" s="3"/>
      <c r="J1174" t="str">
        <f t="shared" si="371"/>
        <v>VERIZON NEW ENGLAND INC</v>
      </c>
      <c r="K1174" t="str">
        <f>""</f>
        <v/>
      </c>
      <c r="L1174" s="2" t="str">
        <f>"ACCT: 401 831 1058 807 005 7 - OCT 2015 MONTHLY PAYMENT - 180 SOUTH MAIN STREET"</f>
        <v>ACCT: 401 831 1058 807 005 7 - OCT 2015 MONTHLY PAYMENT - 180 SOUTH MAIN STREET</v>
      </c>
      <c r="M1174" t="str">
        <f t="shared" si="372"/>
        <v>SVALLANT</v>
      </c>
    </row>
    <row r="1175" spans="1:13" x14ac:dyDescent="0.25">
      <c r="A1175" t="str">
        <f t="shared" si="366"/>
        <v>10</v>
      </c>
      <c r="B1175" t="str">
        <f t="shared" si="367"/>
        <v>066</v>
      </c>
      <c r="C1175" t="str">
        <f t="shared" si="368"/>
        <v>3010106</v>
      </c>
      <c r="D1175" t="str">
        <f t="shared" si="369"/>
        <v>03</v>
      </c>
      <c r="E1175" t="str">
        <f t="shared" si="370"/>
        <v>648100</v>
      </c>
      <c r="F1175" t="str">
        <f>"11/30/16"</f>
        <v>11/30/16</v>
      </c>
      <c r="G1175" t="str">
        <f>"1766SXA0110"</f>
        <v>1766SXA0110</v>
      </c>
      <c r="H1175" s="4">
        <v>86.83</v>
      </c>
      <c r="I1175" s="3"/>
      <c r="J1175" t="str">
        <f t="shared" si="371"/>
        <v>VERIZON NEW ENGLAND INC</v>
      </c>
      <c r="K1175" t="str">
        <f>""</f>
        <v/>
      </c>
      <c r="L1175" s="2" t="str">
        <f>"ACCT: 401 831 1058 807 005 7 - OCT 2016 MONTHLY PAYMENT"</f>
        <v>ACCT: 401 831 1058 807 005 7 - OCT 2016 MONTHLY PAYMENT</v>
      </c>
      <c r="M1175" t="str">
        <f t="shared" si="372"/>
        <v>SVALLANT</v>
      </c>
    </row>
    <row r="1176" spans="1:13" ht="30" x14ac:dyDescent="0.25">
      <c r="A1176" t="str">
        <f t="shared" si="366"/>
        <v>10</v>
      </c>
      <c r="B1176" t="str">
        <f t="shared" si="367"/>
        <v>066</v>
      </c>
      <c r="C1176" t="str">
        <f t="shared" si="368"/>
        <v>3010106</v>
      </c>
      <c r="D1176" t="str">
        <f t="shared" si="369"/>
        <v>03</v>
      </c>
      <c r="E1176" t="str">
        <f t="shared" si="370"/>
        <v>648100</v>
      </c>
      <c r="F1176" t="str">
        <f>"12/31/14"</f>
        <v>12/31/14</v>
      </c>
      <c r="G1176" t="str">
        <f>"1566SXA0159"</f>
        <v>1566SXA0159</v>
      </c>
      <c r="H1176" s="4">
        <v>79.59</v>
      </c>
      <c r="I1176" s="3"/>
      <c r="J1176" t="str">
        <f t="shared" si="371"/>
        <v>VERIZON NEW ENGLAND INC</v>
      </c>
      <c r="K1176" t="str">
        <f>""</f>
        <v/>
      </c>
      <c r="L1176" s="2" t="str">
        <f>"ACCT: 401 831 1058 807 005 7 - NOV 2014 MONTHLY PAYMENT - SECURITY LINE AT 180 SOUTH MAIN STREET"</f>
        <v>ACCT: 401 831 1058 807 005 7 - NOV 2014 MONTHLY PAYMENT - SECURITY LINE AT 180 SOUTH MAIN STREET</v>
      </c>
      <c r="M1176" t="str">
        <f t="shared" si="372"/>
        <v>SVALLANT</v>
      </c>
    </row>
    <row r="1177" spans="1:13" x14ac:dyDescent="0.25">
      <c r="A1177" t="str">
        <f t="shared" si="366"/>
        <v>10</v>
      </c>
      <c r="B1177" t="str">
        <f t="shared" si="367"/>
        <v>066</v>
      </c>
      <c r="C1177" t="str">
        <f t="shared" si="368"/>
        <v>3010106</v>
      </c>
      <c r="D1177" t="str">
        <f t="shared" si="369"/>
        <v>03</v>
      </c>
      <c r="E1177" t="str">
        <f t="shared" si="370"/>
        <v>648100</v>
      </c>
      <c r="F1177" t="str">
        <f>"12/31/15"</f>
        <v>12/31/15</v>
      </c>
      <c r="G1177" t="str">
        <f>"1666SXA0150"</f>
        <v>1666SXA0150</v>
      </c>
      <c r="H1177" s="4">
        <v>86.62</v>
      </c>
      <c r="I1177" s="3"/>
      <c r="J1177" t="str">
        <f t="shared" si="371"/>
        <v>VERIZON NEW ENGLAND INC</v>
      </c>
      <c r="K1177" t="str">
        <f>""</f>
        <v/>
      </c>
      <c r="L1177" s="2" t="str">
        <f>"ACCT: 401 831 1058 807 005 7 - NOV 2015 MONTHLY PAYMENT"</f>
        <v>ACCT: 401 831 1058 807 005 7 - NOV 2015 MONTHLY PAYMENT</v>
      </c>
      <c r="M1177" t="str">
        <f t="shared" si="372"/>
        <v>SVALLANT</v>
      </c>
    </row>
    <row r="1178" spans="1:13" x14ac:dyDescent="0.25">
      <c r="A1178" t="str">
        <f t="shared" si="366"/>
        <v>10</v>
      </c>
      <c r="B1178" t="str">
        <f t="shared" si="367"/>
        <v>066</v>
      </c>
      <c r="C1178" t="str">
        <f t="shared" si="368"/>
        <v>3010106</v>
      </c>
      <c r="D1178" t="str">
        <f t="shared" si="369"/>
        <v>03</v>
      </c>
      <c r="E1178" t="str">
        <f t="shared" si="370"/>
        <v>648100</v>
      </c>
      <c r="F1178" t="str">
        <f>"12/31/16"</f>
        <v>12/31/16</v>
      </c>
      <c r="G1178" t="str">
        <f>"1766SXA0128"</f>
        <v>1766SXA0128</v>
      </c>
      <c r="H1178" s="3">
        <v>86.82</v>
      </c>
      <c r="I1178" s="3"/>
      <c r="J1178" t="str">
        <f t="shared" si="371"/>
        <v>VERIZON NEW ENGLAND INC</v>
      </c>
      <c r="K1178" t="str">
        <f>""</f>
        <v/>
      </c>
      <c r="L1178" s="2" t="str">
        <f>"ACCT: 401 831 1058 807 005 7  - NOV 2016 MONTHLY PAYMENT"</f>
        <v>ACCT: 401 831 1058 807 005 7  - NOV 2016 MONTHLY PAYMENT</v>
      </c>
      <c r="M1178" t="str">
        <f t="shared" si="372"/>
        <v>SVALLANT</v>
      </c>
    </row>
    <row r="1179" spans="1:13" x14ac:dyDescent="0.25">
      <c r="H1179" s="6">
        <f>SUM(H1136:H1178)</f>
        <v>14217.22</v>
      </c>
      <c r="I1179" s="6">
        <f>SUM(H1136:H1178)</f>
        <v>14217.22</v>
      </c>
      <c r="L1179" s="2"/>
      <c r="M1179" t="str">
        <f t="shared" si="372"/>
        <v>SVALLANT</v>
      </c>
    </row>
    <row r="1180" spans="1:13" x14ac:dyDescent="0.25">
      <c r="H1180" s="3"/>
      <c r="I1180" s="3"/>
      <c r="L1180" s="2"/>
    </row>
    <row r="1181" spans="1:13" ht="30" x14ac:dyDescent="0.25">
      <c r="A1181" t="str">
        <f t="shared" ref="A1181:A1217" si="373">"10"</f>
        <v>10</v>
      </c>
      <c r="B1181" t="str">
        <f t="shared" ref="B1181:B1217" si="374">"066"</f>
        <v>066</v>
      </c>
      <c r="C1181" t="str">
        <f t="shared" ref="C1181:C1217" si="375">"3010106"</f>
        <v>3010106</v>
      </c>
      <c r="D1181" t="str">
        <f t="shared" ref="D1181:D1217" si="376">"03"</f>
        <v>03</v>
      </c>
      <c r="E1181" t="str">
        <f t="shared" ref="E1181:E1217" si="377">"661711"</f>
        <v>661711</v>
      </c>
      <c r="F1181" t="str">
        <f>"02/28/17"</f>
        <v>02/28/17</v>
      </c>
      <c r="G1181" t="str">
        <f>"16975"</f>
        <v>16975</v>
      </c>
      <c r="H1181" s="3">
        <v>700</v>
      </c>
      <c r="I1181" s="3"/>
      <c r="J1181" t="str">
        <f t="shared" ref="J1181:J1216" si="378">"VERSATILE COMMUNICATIONS INC"</f>
        <v>VERSATILE COMMUNICATIONS INC</v>
      </c>
      <c r="K1181" t="str">
        <f>"3502321"</f>
        <v>3502321</v>
      </c>
      <c r="L1181" s="2" t="s">
        <v>34</v>
      </c>
    </row>
    <row r="1182" spans="1:13" ht="30" x14ac:dyDescent="0.25">
      <c r="A1182" t="str">
        <f t="shared" si="373"/>
        <v>10</v>
      </c>
      <c r="B1182" t="str">
        <f t="shared" si="374"/>
        <v>066</v>
      </c>
      <c r="C1182" t="str">
        <f t="shared" si="375"/>
        <v>3010106</v>
      </c>
      <c r="D1182" t="str">
        <f t="shared" si="376"/>
        <v>03</v>
      </c>
      <c r="E1182" t="str">
        <f t="shared" si="377"/>
        <v>661711</v>
      </c>
      <c r="F1182" t="str">
        <f>"02/28/17"</f>
        <v>02/28/17</v>
      </c>
      <c r="G1182" t="str">
        <f>"17686"</f>
        <v>17686</v>
      </c>
      <c r="H1182" s="3">
        <v>3150</v>
      </c>
      <c r="I1182" s="3"/>
      <c r="J1182" t="str">
        <f t="shared" si="378"/>
        <v>VERSATILE COMMUNICATIONS INC</v>
      </c>
      <c r="K1182" t="str">
        <f>"3502321"</f>
        <v>3502321</v>
      </c>
      <c r="L1182" s="2" t="s">
        <v>34</v>
      </c>
      <c r="M1182" t="str">
        <f t="shared" ref="M1182:M1218" si="379">"SVALLANT"</f>
        <v>SVALLANT</v>
      </c>
    </row>
    <row r="1183" spans="1:13" ht="45" x14ac:dyDescent="0.25">
      <c r="A1183" t="str">
        <f t="shared" si="373"/>
        <v>10</v>
      </c>
      <c r="B1183" t="str">
        <f t="shared" si="374"/>
        <v>066</v>
      </c>
      <c r="C1183" t="str">
        <f t="shared" si="375"/>
        <v>3010106</v>
      </c>
      <c r="D1183" t="str">
        <f t="shared" si="376"/>
        <v>03</v>
      </c>
      <c r="E1183" t="str">
        <f t="shared" si="377"/>
        <v>661711</v>
      </c>
      <c r="F1183" t="str">
        <f>"02/29/16"</f>
        <v>02/29/16</v>
      </c>
      <c r="G1183" t="str">
        <f>"14654"</f>
        <v>14654</v>
      </c>
      <c r="H1183" s="4">
        <v>107</v>
      </c>
      <c r="I1183" s="3"/>
      <c r="J1183" t="str">
        <f t="shared" si="378"/>
        <v>VERSATILE COMMUNICATIONS INC</v>
      </c>
      <c r="K1183" t="str">
        <f t="shared" ref="K1183:K1216" si="380">"3405235"</f>
        <v>3405235</v>
      </c>
      <c r="L1183" s="2" t="s">
        <v>35</v>
      </c>
      <c r="M1183" t="str">
        <f t="shared" si="379"/>
        <v>SVALLANT</v>
      </c>
    </row>
    <row r="1184" spans="1:13" ht="45" x14ac:dyDescent="0.25">
      <c r="A1184" t="str">
        <f t="shared" si="373"/>
        <v>10</v>
      </c>
      <c r="B1184" t="str">
        <f t="shared" si="374"/>
        <v>066</v>
      </c>
      <c r="C1184" t="str">
        <f t="shared" si="375"/>
        <v>3010106</v>
      </c>
      <c r="D1184" t="str">
        <f t="shared" si="376"/>
        <v>03</v>
      </c>
      <c r="E1184" t="str">
        <f t="shared" si="377"/>
        <v>661711</v>
      </c>
      <c r="F1184" t="str">
        <f>"02/29/16"</f>
        <v>02/29/16</v>
      </c>
      <c r="G1184" t="str">
        <f>"14753"</f>
        <v>14753</v>
      </c>
      <c r="H1184" s="4">
        <v>110</v>
      </c>
      <c r="I1184" s="3"/>
      <c r="J1184" t="str">
        <f t="shared" si="378"/>
        <v>VERSATILE COMMUNICATIONS INC</v>
      </c>
      <c r="K1184" t="str">
        <f t="shared" si="380"/>
        <v>3405235</v>
      </c>
      <c r="L1184" s="2" t="s">
        <v>35</v>
      </c>
      <c r="M1184" t="str">
        <f t="shared" si="379"/>
        <v>SVALLANT</v>
      </c>
    </row>
    <row r="1185" spans="1:13" ht="45" x14ac:dyDescent="0.25">
      <c r="A1185" t="str">
        <f t="shared" si="373"/>
        <v>10</v>
      </c>
      <c r="B1185" t="str">
        <f t="shared" si="374"/>
        <v>066</v>
      </c>
      <c r="C1185" t="str">
        <f t="shared" si="375"/>
        <v>3010106</v>
      </c>
      <c r="D1185" t="str">
        <f t="shared" si="376"/>
        <v>03</v>
      </c>
      <c r="E1185" t="str">
        <f t="shared" si="377"/>
        <v>661711</v>
      </c>
      <c r="F1185" t="str">
        <f t="shared" ref="F1185:F1192" si="381">"03/31/15"</f>
        <v>03/31/15</v>
      </c>
      <c r="G1185" t="str">
        <f>"10971"</f>
        <v>10971</v>
      </c>
      <c r="H1185" s="4">
        <v>104685.18</v>
      </c>
      <c r="I1185" s="3"/>
      <c r="J1185" t="str">
        <f t="shared" si="378"/>
        <v>VERSATILE COMMUNICATIONS INC</v>
      </c>
      <c r="K1185" t="str">
        <f t="shared" si="380"/>
        <v>3405235</v>
      </c>
      <c r="L1185" s="2" t="s">
        <v>35</v>
      </c>
      <c r="M1185" t="str">
        <f t="shared" si="379"/>
        <v>SVALLANT</v>
      </c>
    </row>
    <row r="1186" spans="1:13" ht="45" x14ac:dyDescent="0.25">
      <c r="A1186" t="str">
        <f t="shared" si="373"/>
        <v>10</v>
      </c>
      <c r="B1186" t="str">
        <f t="shared" si="374"/>
        <v>066</v>
      </c>
      <c r="C1186" t="str">
        <f t="shared" si="375"/>
        <v>3010106</v>
      </c>
      <c r="D1186" t="str">
        <f t="shared" si="376"/>
        <v>03</v>
      </c>
      <c r="E1186" t="str">
        <f t="shared" si="377"/>
        <v>661711</v>
      </c>
      <c r="F1186" t="str">
        <f t="shared" si="381"/>
        <v>03/31/15</v>
      </c>
      <c r="G1186" t="str">
        <f>"10997"</f>
        <v>10997</v>
      </c>
      <c r="H1186" s="4">
        <v>17690</v>
      </c>
      <c r="I1186" s="3"/>
      <c r="J1186" t="str">
        <f t="shared" si="378"/>
        <v>VERSATILE COMMUNICATIONS INC</v>
      </c>
      <c r="K1186" t="str">
        <f t="shared" si="380"/>
        <v>3405235</v>
      </c>
      <c r="L1186" s="2" t="s">
        <v>35</v>
      </c>
      <c r="M1186" t="str">
        <f t="shared" si="379"/>
        <v>SVALLANT</v>
      </c>
    </row>
    <row r="1187" spans="1:13" ht="45" x14ac:dyDescent="0.25">
      <c r="A1187" t="str">
        <f t="shared" si="373"/>
        <v>10</v>
      </c>
      <c r="B1187" t="str">
        <f t="shared" si="374"/>
        <v>066</v>
      </c>
      <c r="C1187" t="str">
        <f t="shared" si="375"/>
        <v>3010106</v>
      </c>
      <c r="D1187" t="str">
        <f t="shared" si="376"/>
        <v>03</v>
      </c>
      <c r="E1187" t="str">
        <f t="shared" si="377"/>
        <v>661711</v>
      </c>
      <c r="F1187" t="str">
        <f t="shared" si="381"/>
        <v>03/31/15</v>
      </c>
      <c r="G1187" t="str">
        <f>"10998"</f>
        <v>10998</v>
      </c>
      <c r="H1187" s="4">
        <v>164601.51999999999</v>
      </c>
      <c r="I1187" s="3"/>
      <c r="J1187" t="str">
        <f t="shared" si="378"/>
        <v>VERSATILE COMMUNICATIONS INC</v>
      </c>
      <c r="K1187" t="str">
        <f t="shared" si="380"/>
        <v>3405235</v>
      </c>
      <c r="L1187" s="2" t="s">
        <v>35</v>
      </c>
      <c r="M1187" t="str">
        <f t="shared" si="379"/>
        <v>SVALLANT</v>
      </c>
    </row>
    <row r="1188" spans="1:13" ht="45" x14ac:dyDescent="0.25">
      <c r="A1188" t="str">
        <f t="shared" si="373"/>
        <v>10</v>
      </c>
      <c r="B1188" t="str">
        <f t="shared" si="374"/>
        <v>066</v>
      </c>
      <c r="C1188" t="str">
        <f t="shared" si="375"/>
        <v>3010106</v>
      </c>
      <c r="D1188" t="str">
        <f t="shared" si="376"/>
        <v>03</v>
      </c>
      <c r="E1188" t="str">
        <f t="shared" si="377"/>
        <v>661711</v>
      </c>
      <c r="F1188" t="str">
        <f t="shared" si="381"/>
        <v>03/31/15</v>
      </c>
      <c r="G1188" t="str">
        <f>"11010"</f>
        <v>11010</v>
      </c>
      <c r="H1188" s="4">
        <v>56785</v>
      </c>
      <c r="I1188" s="3"/>
      <c r="J1188" t="str">
        <f t="shared" si="378"/>
        <v>VERSATILE COMMUNICATIONS INC</v>
      </c>
      <c r="K1188" t="str">
        <f t="shared" si="380"/>
        <v>3405235</v>
      </c>
      <c r="L1188" s="2" t="s">
        <v>35</v>
      </c>
      <c r="M1188" t="str">
        <f t="shared" si="379"/>
        <v>SVALLANT</v>
      </c>
    </row>
    <row r="1189" spans="1:13" ht="45" x14ac:dyDescent="0.25">
      <c r="A1189" t="str">
        <f t="shared" si="373"/>
        <v>10</v>
      </c>
      <c r="B1189" t="str">
        <f t="shared" si="374"/>
        <v>066</v>
      </c>
      <c r="C1189" t="str">
        <f t="shared" si="375"/>
        <v>3010106</v>
      </c>
      <c r="D1189" t="str">
        <f t="shared" si="376"/>
        <v>03</v>
      </c>
      <c r="E1189" t="str">
        <f t="shared" si="377"/>
        <v>661711</v>
      </c>
      <c r="F1189" t="str">
        <f t="shared" si="381"/>
        <v>03/31/15</v>
      </c>
      <c r="G1189" t="str">
        <f>"11011"</f>
        <v>11011</v>
      </c>
      <c r="H1189" s="4">
        <v>56281.25</v>
      </c>
      <c r="I1189" s="3"/>
      <c r="J1189" t="str">
        <f t="shared" si="378"/>
        <v>VERSATILE COMMUNICATIONS INC</v>
      </c>
      <c r="K1189" t="str">
        <f t="shared" si="380"/>
        <v>3405235</v>
      </c>
      <c r="L1189" s="2" t="s">
        <v>35</v>
      </c>
      <c r="M1189" t="str">
        <f t="shared" si="379"/>
        <v>SVALLANT</v>
      </c>
    </row>
    <row r="1190" spans="1:13" ht="45" x14ac:dyDescent="0.25">
      <c r="A1190" t="str">
        <f t="shared" si="373"/>
        <v>10</v>
      </c>
      <c r="B1190" t="str">
        <f t="shared" si="374"/>
        <v>066</v>
      </c>
      <c r="C1190" t="str">
        <f t="shared" si="375"/>
        <v>3010106</v>
      </c>
      <c r="D1190" t="str">
        <f t="shared" si="376"/>
        <v>03</v>
      </c>
      <c r="E1190" t="str">
        <f t="shared" si="377"/>
        <v>661711</v>
      </c>
      <c r="F1190" t="str">
        <f t="shared" si="381"/>
        <v>03/31/15</v>
      </c>
      <c r="G1190" t="str">
        <f>"11135"</f>
        <v>11135</v>
      </c>
      <c r="H1190" s="4">
        <v>27958.95</v>
      </c>
      <c r="I1190" s="3"/>
      <c r="J1190" t="str">
        <f t="shared" si="378"/>
        <v>VERSATILE COMMUNICATIONS INC</v>
      </c>
      <c r="K1190" t="str">
        <f t="shared" si="380"/>
        <v>3405235</v>
      </c>
      <c r="L1190" s="2" t="s">
        <v>35</v>
      </c>
      <c r="M1190" t="str">
        <f t="shared" si="379"/>
        <v>SVALLANT</v>
      </c>
    </row>
    <row r="1191" spans="1:13" ht="45" x14ac:dyDescent="0.25">
      <c r="A1191" t="str">
        <f t="shared" si="373"/>
        <v>10</v>
      </c>
      <c r="B1191" t="str">
        <f t="shared" si="374"/>
        <v>066</v>
      </c>
      <c r="C1191" t="str">
        <f t="shared" si="375"/>
        <v>3010106</v>
      </c>
      <c r="D1191" t="str">
        <f t="shared" si="376"/>
        <v>03</v>
      </c>
      <c r="E1191" t="str">
        <f t="shared" si="377"/>
        <v>661711</v>
      </c>
      <c r="F1191" t="str">
        <f t="shared" si="381"/>
        <v>03/31/15</v>
      </c>
      <c r="G1191" t="str">
        <f>"11229"</f>
        <v>11229</v>
      </c>
      <c r="H1191" s="4">
        <v>849590.09</v>
      </c>
      <c r="I1191" s="3"/>
      <c r="J1191" t="str">
        <f t="shared" si="378"/>
        <v>VERSATILE COMMUNICATIONS INC</v>
      </c>
      <c r="K1191" t="str">
        <f t="shared" si="380"/>
        <v>3405235</v>
      </c>
      <c r="L1191" s="2" t="s">
        <v>35</v>
      </c>
      <c r="M1191" t="str">
        <f t="shared" si="379"/>
        <v>SVALLANT</v>
      </c>
    </row>
    <row r="1192" spans="1:13" ht="45" x14ac:dyDescent="0.25">
      <c r="A1192" t="str">
        <f t="shared" si="373"/>
        <v>10</v>
      </c>
      <c r="B1192" t="str">
        <f t="shared" si="374"/>
        <v>066</v>
      </c>
      <c r="C1192" t="str">
        <f t="shared" si="375"/>
        <v>3010106</v>
      </c>
      <c r="D1192" t="str">
        <f t="shared" si="376"/>
        <v>03</v>
      </c>
      <c r="E1192" t="str">
        <f t="shared" si="377"/>
        <v>661711</v>
      </c>
      <c r="F1192" t="str">
        <f t="shared" si="381"/>
        <v>03/31/15</v>
      </c>
      <c r="G1192" t="str">
        <f>"11488"</f>
        <v>11488</v>
      </c>
      <c r="H1192" s="3">
        <v>1238.4000000000001</v>
      </c>
      <c r="I1192" s="3"/>
      <c r="J1192" t="str">
        <f t="shared" si="378"/>
        <v>VERSATILE COMMUNICATIONS INC</v>
      </c>
      <c r="K1192" t="str">
        <f t="shared" si="380"/>
        <v>3405235</v>
      </c>
      <c r="L1192" s="2" t="s">
        <v>35</v>
      </c>
      <c r="M1192" t="str">
        <f t="shared" si="379"/>
        <v>SVALLANT</v>
      </c>
    </row>
    <row r="1193" spans="1:13" ht="45" x14ac:dyDescent="0.25">
      <c r="A1193" t="str">
        <f t="shared" si="373"/>
        <v>10</v>
      </c>
      <c r="B1193" t="str">
        <f t="shared" si="374"/>
        <v>066</v>
      </c>
      <c r="C1193" t="str">
        <f t="shared" si="375"/>
        <v>3010106</v>
      </c>
      <c r="D1193" t="str">
        <f t="shared" si="376"/>
        <v>03</v>
      </c>
      <c r="E1193" t="str">
        <f t="shared" si="377"/>
        <v>661711</v>
      </c>
      <c r="F1193" t="str">
        <f>"03/31/16"</f>
        <v>03/31/16</v>
      </c>
      <c r="G1193" t="str">
        <f>"15035"</f>
        <v>15035</v>
      </c>
      <c r="H1193" s="3">
        <v>6070.3</v>
      </c>
      <c r="I1193" s="3"/>
      <c r="J1193" t="str">
        <f t="shared" si="378"/>
        <v>VERSATILE COMMUNICATIONS INC</v>
      </c>
      <c r="K1193" t="str">
        <f t="shared" si="380"/>
        <v>3405235</v>
      </c>
      <c r="L1193" s="2" t="s">
        <v>35</v>
      </c>
      <c r="M1193" t="str">
        <f t="shared" si="379"/>
        <v>SVALLANT</v>
      </c>
    </row>
    <row r="1194" spans="1:13" ht="45" x14ac:dyDescent="0.25">
      <c r="A1194" t="str">
        <f t="shared" si="373"/>
        <v>10</v>
      </c>
      <c r="B1194" t="str">
        <f t="shared" si="374"/>
        <v>066</v>
      </c>
      <c r="C1194" t="str">
        <f t="shared" si="375"/>
        <v>3010106</v>
      </c>
      <c r="D1194" t="str">
        <f t="shared" si="376"/>
        <v>03</v>
      </c>
      <c r="E1194" t="str">
        <f t="shared" si="377"/>
        <v>661711</v>
      </c>
      <c r="F1194" t="str">
        <f>"04/30/16"</f>
        <v>04/30/16</v>
      </c>
      <c r="G1194" t="str">
        <f>"12955"</f>
        <v>12955</v>
      </c>
      <c r="H1194" s="3">
        <v>21452</v>
      </c>
      <c r="I1194" s="3"/>
      <c r="J1194" t="str">
        <f t="shared" si="378"/>
        <v>VERSATILE COMMUNICATIONS INC</v>
      </c>
      <c r="K1194" t="str">
        <f t="shared" si="380"/>
        <v>3405235</v>
      </c>
      <c r="L1194" s="2" t="s">
        <v>35</v>
      </c>
      <c r="M1194" t="str">
        <f t="shared" si="379"/>
        <v>SVALLANT</v>
      </c>
    </row>
    <row r="1195" spans="1:13" ht="45" x14ac:dyDescent="0.25">
      <c r="A1195" t="str">
        <f t="shared" si="373"/>
        <v>10</v>
      </c>
      <c r="B1195" t="str">
        <f t="shared" si="374"/>
        <v>066</v>
      </c>
      <c r="C1195" t="str">
        <f t="shared" si="375"/>
        <v>3010106</v>
      </c>
      <c r="D1195" t="str">
        <f t="shared" si="376"/>
        <v>03</v>
      </c>
      <c r="E1195" t="str">
        <f t="shared" si="377"/>
        <v>661711</v>
      </c>
      <c r="F1195" t="str">
        <f>"05/31/15"</f>
        <v>05/31/15</v>
      </c>
      <c r="G1195" t="str">
        <f>"11231"</f>
        <v>11231</v>
      </c>
      <c r="H1195" s="3">
        <v>11927.94</v>
      </c>
      <c r="I1195" s="3"/>
      <c r="J1195" t="str">
        <f t="shared" si="378"/>
        <v>VERSATILE COMMUNICATIONS INC</v>
      </c>
      <c r="K1195" t="str">
        <f t="shared" si="380"/>
        <v>3405235</v>
      </c>
      <c r="L1195" s="2" t="s">
        <v>35</v>
      </c>
      <c r="M1195" t="str">
        <f t="shared" si="379"/>
        <v>SVALLANT</v>
      </c>
    </row>
    <row r="1196" spans="1:13" ht="45" x14ac:dyDescent="0.25">
      <c r="A1196" t="str">
        <f t="shared" si="373"/>
        <v>10</v>
      </c>
      <c r="B1196" t="str">
        <f t="shared" si="374"/>
        <v>066</v>
      </c>
      <c r="C1196" t="str">
        <f t="shared" si="375"/>
        <v>3010106</v>
      </c>
      <c r="D1196" t="str">
        <f t="shared" si="376"/>
        <v>03</v>
      </c>
      <c r="E1196" t="str">
        <f t="shared" si="377"/>
        <v>661711</v>
      </c>
      <c r="F1196" t="str">
        <f>"05/31/15"</f>
        <v>05/31/15</v>
      </c>
      <c r="G1196" t="str">
        <f>"11339"</f>
        <v>11339</v>
      </c>
      <c r="H1196" s="3">
        <v>1124.3399999999999</v>
      </c>
      <c r="I1196" s="3"/>
      <c r="J1196" t="str">
        <f t="shared" si="378"/>
        <v>VERSATILE COMMUNICATIONS INC</v>
      </c>
      <c r="K1196" t="str">
        <f t="shared" si="380"/>
        <v>3405235</v>
      </c>
      <c r="L1196" s="2" t="s">
        <v>35</v>
      </c>
      <c r="M1196" t="str">
        <f t="shared" si="379"/>
        <v>SVALLANT</v>
      </c>
    </row>
    <row r="1197" spans="1:13" ht="45" x14ac:dyDescent="0.25">
      <c r="A1197" t="str">
        <f t="shared" si="373"/>
        <v>10</v>
      </c>
      <c r="B1197" t="str">
        <f t="shared" si="374"/>
        <v>066</v>
      </c>
      <c r="C1197" t="str">
        <f t="shared" si="375"/>
        <v>3010106</v>
      </c>
      <c r="D1197" t="str">
        <f t="shared" si="376"/>
        <v>03</v>
      </c>
      <c r="E1197" t="str">
        <f t="shared" si="377"/>
        <v>661711</v>
      </c>
      <c r="F1197" t="str">
        <f>"05/31/15"</f>
        <v>05/31/15</v>
      </c>
      <c r="G1197" t="str">
        <f>"11647"</f>
        <v>11647</v>
      </c>
      <c r="H1197" s="3">
        <v>132.66999999999999</v>
      </c>
      <c r="I1197" s="3"/>
      <c r="J1197" t="str">
        <f t="shared" si="378"/>
        <v>VERSATILE COMMUNICATIONS INC</v>
      </c>
      <c r="K1197" t="str">
        <f t="shared" si="380"/>
        <v>3405235</v>
      </c>
      <c r="L1197" s="2" t="s">
        <v>35</v>
      </c>
      <c r="M1197" t="str">
        <f t="shared" si="379"/>
        <v>SVALLANT</v>
      </c>
    </row>
    <row r="1198" spans="1:13" ht="45" x14ac:dyDescent="0.25">
      <c r="A1198" t="str">
        <f t="shared" si="373"/>
        <v>10</v>
      </c>
      <c r="B1198" t="str">
        <f t="shared" si="374"/>
        <v>066</v>
      </c>
      <c r="C1198" t="str">
        <f t="shared" si="375"/>
        <v>3010106</v>
      </c>
      <c r="D1198" t="str">
        <f t="shared" si="376"/>
        <v>03</v>
      </c>
      <c r="E1198" t="str">
        <f t="shared" si="377"/>
        <v>661711</v>
      </c>
      <c r="F1198" t="str">
        <f>"05/31/15"</f>
        <v>05/31/15</v>
      </c>
      <c r="G1198" t="str">
        <f>"11648"</f>
        <v>11648</v>
      </c>
      <c r="H1198" s="3">
        <v>150.9</v>
      </c>
      <c r="I1198" s="3"/>
      <c r="J1198" t="str">
        <f t="shared" si="378"/>
        <v>VERSATILE COMMUNICATIONS INC</v>
      </c>
      <c r="K1198" t="str">
        <f t="shared" si="380"/>
        <v>3405235</v>
      </c>
      <c r="L1198" s="2" t="s">
        <v>35</v>
      </c>
      <c r="M1198" t="str">
        <f t="shared" si="379"/>
        <v>SVALLANT</v>
      </c>
    </row>
    <row r="1199" spans="1:13" ht="45" x14ac:dyDescent="0.25">
      <c r="A1199" t="str">
        <f t="shared" si="373"/>
        <v>10</v>
      </c>
      <c r="B1199" t="str">
        <f t="shared" si="374"/>
        <v>066</v>
      </c>
      <c r="C1199" t="str">
        <f t="shared" si="375"/>
        <v>3010106</v>
      </c>
      <c r="D1199" t="str">
        <f t="shared" si="376"/>
        <v>03</v>
      </c>
      <c r="E1199" t="str">
        <f t="shared" si="377"/>
        <v>661711</v>
      </c>
      <c r="F1199" t="str">
        <f t="shared" ref="F1199:F1206" si="382">"06/30/15"</f>
        <v>06/30/15</v>
      </c>
      <c r="G1199" t="str">
        <f>"11525"</f>
        <v>11525</v>
      </c>
      <c r="H1199" s="3">
        <v>220.05</v>
      </c>
      <c r="I1199" s="3"/>
      <c r="J1199" t="str">
        <f t="shared" si="378"/>
        <v>VERSATILE COMMUNICATIONS INC</v>
      </c>
      <c r="K1199" t="str">
        <f t="shared" si="380"/>
        <v>3405235</v>
      </c>
      <c r="L1199" s="2" t="s">
        <v>35</v>
      </c>
      <c r="M1199" t="str">
        <f t="shared" si="379"/>
        <v>SVALLANT</v>
      </c>
    </row>
    <row r="1200" spans="1:13" ht="45" x14ac:dyDescent="0.25">
      <c r="A1200" t="str">
        <f t="shared" si="373"/>
        <v>10</v>
      </c>
      <c r="B1200" t="str">
        <f t="shared" si="374"/>
        <v>066</v>
      </c>
      <c r="C1200" t="str">
        <f t="shared" si="375"/>
        <v>3010106</v>
      </c>
      <c r="D1200" t="str">
        <f t="shared" si="376"/>
        <v>03</v>
      </c>
      <c r="E1200" t="str">
        <f t="shared" si="377"/>
        <v>661711</v>
      </c>
      <c r="F1200" t="str">
        <f t="shared" si="382"/>
        <v>06/30/15</v>
      </c>
      <c r="G1200" t="str">
        <f>"11577"</f>
        <v>11577</v>
      </c>
      <c r="H1200" s="3">
        <v>16876.72</v>
      </c>
      <c r="I1200" s="3"/>
      <c r="J1200" t="str">
        <f t="shared" si="378"/>
        <v>VERSATILE COMMUNICATIONS INC</v>
      </c>
      <c r="K1200" t="str">
        <f t="shared" si="380"/>
        <v>3405235</v>
      </c>
      <c r="L1200" s="2" t="s">
        <v>35</v>
      </c>
      <c r="M1200" t="str">
        <f t="shared" si="379"/>
        <v>SVALLANT</v>
      </c>
    </row>
    <row r="1201" spans="1:13" ht="45" x14ac:dyDescent="0.25">
      <c r="A1201" t="str">
        <f t="shared" si="373"/>
        <v>10</v>
      </c>
      <c r="B1201" t="str">
        <f t="shared" si="374"/>
        <v>066</v>
      </c>
      <c r="C1201" t="str">
        <f t="shared" si="375"/>
        <v>3010106</v>
      </c>
      <c r="D1201" t="str">
        <f t="shared" si="376"/>
        <v>03</v>
      </c>
      <c r="E1201" t="str">
        <f t="shared" si="377"/>
        <v>661711</v>
      </c>
      <c r="F1201" t="str">
        <f t="shared" si="382"/>
        <v>06/30/15</v>
      </c>
      <c r="G1201" t="str">
        <f>"11821"</f>
        <v>11821</v>
      </c>
      <c r="H1201" s="3">
        <v>26815</v>
      </c>
      <c r="I1201" s="3"/>
      <c r="J1201" t="str">
        <f t="shared" si="378"/>
        <v>VERSATILE COMMUNICATIONS INC</v>
      </c>
      <c r="K1201" t="str">
        <f t="shared" si="380"/>
        <v>3405235</v>
      </c>
      <c r="L1201" s="2" t="s">
        <v>35</v>
      </c>
      <c r="M1201" t="str">
        <f t="shared" si="379"/>
        <v>SVALLANT</v>
      </c>
    </row>
    <row r="1202" spans="1:13" ht="45" x14ac:dyDescent="0.25">
      <c r="A1202" t="str">
        <f t="shared" si="373"/>
        <v>10</v>
      </c>
      <c r="B1202" t="str">
        <f t="shared" si="374"/>
        <v>066</v>
      </c>
      <c r="C1202" t="str">
        <f t="shared" si="375"/>
        <v>3010106</v>
      </c>
      <c r="D1202" t="str">
        <f t="shared" si="376"/>
        <v>03</v>
      </c>
      <c r="E1202" t="str">
        <f t="shared" si="377"/>
        <v>661711</v>
      </c>
      <c r="F1202" t="str">
        <f t="shared" si="382"/>
        <v>06/30/15</v>
      </c>
      <c r="G1202" t="str">
        <f>"11958"</f>
        <v>11958</v>
      </c>
      <c r="H1202" s="3">
        <v>47313.599999999999</v>
      </c>
      <c r="I1202" s="3"/>
      <c r="J1202" t="str">
        <f t="shared" si="378"/>
        <v>VERSATILE COMMUNICATIONS INC</v>
      </c>
      <c r="K1202" t="str">
        <f t="shared" si="380"/>
        <v>3405235</v>
      </c>
      <c r="L1202" s="2" t="s">
        <v>35</v>
      </c>
      <c r="M1202" t="str">
        <f t="shared" si="379"/>
        <v>SVALLANT</v>
      </c>
    </row>
    <row r="1203" spans="1:13" ht="45" x14ac:dyDescent="0.25">
      <c r="A1203" t="str">
        <f t="shared" si="373"/>
        <v>10</v>
      </c>
      <c r="B1203" t="str">
        <f t="shared" si="374"/>
        <v>066</v>
      </c>
      <c r="C1203" t="str">
        <f t="shared" si="375"/>
        <v>3010106</v>
      </c>
      <c r="D1203" t="str">
        <f t="shared" si="376"/>
        <v>03</v>
      </c>
      <c r="E1203" t="str">
        <f t="shared" si="377"/>
        <v>661711</v>
      </c>
      <c r="F1203" t="str">
        <f t="shared" si="382"/>
        <v>06/30/15</v>
      </c>
      <c r="G1203" t="str">
        <f>"11986"</f>
        <v>11986</v>
      </c>
      <c r="H1203" s="3">
        <v>7023</v>
      </c>
      <c r="I1203" s="3"/>
      <c r="J1203" t="str">
        <f t="shared" si="378"/>
        <v>VERSATILE COMMUNICATIONS INC</v>
      </c>
      <c r="K1203" t="str">
        <f t="shared" si="380"/>
        <v>3405235</v>
      </c>
      <c r="L1203" s="2" t="s">
        <v>35</v>
      </c>
      <c r="M1203" t="str">
        <f t="shared" si="379"/>
        <v>SVALLANT</v>
      </c>
    </row>
    <row r="1204" spans="1:13" ht="45" x14ac:dyDescent="0.25">
      <c r="A1204" t="str">
        <f t="shared" si="373"/>
        <v>10</v>
      </c>
      <c r="B1204" t="str">
        <f t="shared" si="374"/>
        <v>066</v>
      </c>
      <c r="C1204" t="str">
        <f t="shared" si="375"/>
        <v>3010106</v>
      </c>
      <c r="D1204" t="str">
        <f t="shared" si="376"/>
        <v>03</v>
      </c>
      <c r="E1204" t="str">
        <f t="shared" si="377"/>
        <v>661711</v>
      </c>
      <c r="F1204" t="str">
        <f t="shared" si="382"/>
        <v>06/30/15</v>
      </c>
      <c r="G1204" t="str">
        <f>"12194"</f>
        <v>12194</v>
      </c>
      <c r="H1204" s="3">
        <v>15487.44</v>
      </c>
      <c r="I1204" s="3"/>
      <c r="J1204" t="str">
        <f t="shared" si="378"/>
        <v>VERSATILE COMMUNICATIONS INC</v>
      </c>
      <c r="K1204" t="str">
        <f t="shared" si="380"/>
        <v>3405235</v>
      </c>
      <c r="L1204" s="2" t="s">
        <v>35</v>
      </c>
      <c r="M1204" t="str">
        <f t="shared" si="379"/>
        <v>SVALLANT</v>
      </c>
    </row>
    <row r="1205" spans="1:13" ht="45" x14ac:dyDescent="0.25">
      <c r="A1205" t="str">
        <f t="shared" si="373"/>
        <v>10</v>
      </c>
      <c r="B1205" t="str">
        <f t="shared" si="374"/>
        <v>066</v>
      </c>
      <c r="C1205" t="str">
        <f t="shared" si="375"/>
        <v>3010106</v>
      </c>
      <c r="D1205" t="str">
        <f t="shared" si="376"/>
        <v>03</v>
      </c>
      <c r="E1205" t="str">
        <f t="shared" si="377"/>
        <v>661711</v>
      </c>
      <c r="F1205" t="str">
        <f t="shared" si="382"/>
        <v>06/30/15</v>
      </c>
      <c r="G1205" t="str">
        <f>"12382"</f>
        <v>12382</v>
      </c>
      <c r="H1205" s="3">
        <v>19275.32</v>
      </c>
      <c r="I1205" s="3"/>
      <c r="J1205" t="str">
        <f t="shared" si="378"/>
        <v>VERSATILE COMMUNICATIONS INC</v>
      </c>
      <c r="K1205" t="str">
        <f t="shared" si="380"/>
        <v>3405235</v>
      </c>
      <c r="L1205" s="2" t="s">
        <v>35</v>
      </c>
      <c r="M1205" t="str">
        <f t="shared" si="379"/>
        <v>SVALLANT</v>
      </c>
    </row>
    <row r="1206" spans="1:13" ht="45" x14ac:dyDescent="0.25">
      <c r="A1206" t="str">
        <f t="shared" si="373"/>
        <v>10</v>
      </c>
      <c r="B1206" t="str">
        <f t="shared" si="374"/>
        <v>066</v>
      </c>
      <c r="C1206" t="str">
        <f t="shared" si="375"/>
        <v>3010106</v>
      </c>
      <c r="D1206" t="str">
        <f t="shared" si="376"/>
        <v>03</v>
      </c>
      <c r="E1206" t="str">
        <f t="shared" si="377"/>
        <v>661711</v>
      </c>
      <c r="F1206" t="str">
        <f t="shared" si="382"/>
        <v>06/30/15</v>
      </c>
      <c r="G1206" t="str">
        <f>"12524"</f>
        <v>12524</v>
      </c>
      <c r="H1206" s="3">
        <v>1197.8</v>
      </c>
      <c r="I1206" s="3"/>
      <c r="J1206" t="str">
        <f t="shared" si="378"/>
        <v>VERSATILE COMMUNICATIONS INC</v>
      </c>
      <c r="K1206" t="str">
        <f t="shared" si="380"/>
        <v>3405235</v>
      </c>
      <c r="L1206" s="2" t="s">
        <v>35</v>
      </c>
      <c r="M1206" t="str">
        <f t="shared" si="379"/>
        <v>SVALLANT</v>
      </c>
    </row>
    <row r="1207" spans="1:13" ht="45" x14ac:dyDescent="0.25">
      <c r="A1207" t="str">
        <f t="shared" si="373"/>
        <v>10</v>
      </c>
      <c r="B1207" t="str">
        <f t="shared" si="374"/>
        <v>066</v>
      </c>
      <c r="C1207" t="str">
        <f t="shared" si="375"/>
        <v>3010106</v>
      </c>
      <c r="D1207" t="str">
        <f t="shared" si="376"/>
        <v>03</v>
      </c>
      <c r="E1207" t="str">
        <f t="shared" si="377"/>
        <v>661711</v>
      </c>
      <c r="F1207" t="str">
        <f>"06/30/16"</f>
        <v>06/30/16</v>
      </c>
      <c r="G1207" t="str">
        <f>"16565"</f>
        <v>16565</v>
      </c>
      <c r="H1207" s="3">
        <v>16810.05</v>
      </c>
      <c r="I1207" s="3"/>
      <c r="J1207" t="str">
        <f t="shared" si="378"/>
        <v>VERSATILE COMMUNICATIONS INC</v>
      </c>
      <c r="K1207" t="str">
        <f t="shared" si="380"/>
        <v>3405235</v>
      </c>
      <c r="L1207" s="2" t="s">
        <v>35</v>
      </c>
      <c r="M1207" t="str">
        <f t="shared" si="379"/>
        <v>SVALLANT</v>
      </c>
    </row>
    <row r="1208" spans="1:13" ht="45" x14ac:dyDescent="0.25">
      <c r="A1208" t="str">
        <f t="shared" si="373"/>
        <v>10</v>
      </c>
      <c r="B1208" t="str">
        <f t="shared" si="374"/>
        <v>066</v>
      </c>
      <c r="C1208" t="str">
        <f t="shared" si="375"/>
        <v>3010106</v>
      </c>
      <c r="D1208" t="str">
        <f t="shared" si="376"/>
        <v>03</v>
      </c>
      <c r="E1208" t="str">
        <f t="shared" si="377"/>
        <v>661711</v>
      </c>
      <c r="F1208" t="str">
        <f>"08/31/16"</f>
        <v>08/31/16</v>
      </c>
      <c r="G1208" t="str">
        <f>"16622"</f>
        <v>16622</v>
      </c>
      <c r="H1208" s="3">
        <v>30489.21</v>
      </c>
      <c r="I1208" s="3"/>
      <c r="J1208" t="str">
        <f t="shared" si="378"/>
        <v>VERSATILE COMMUNICATIONS INC</v>
      </c>
      <c r="K1208" t="str">
        <f t="shared" si="380"/>
        <v>3405235</v>
      </c>
      <c r="L1208" s="2" t="s">
        <v>35</v>
      </c>
      <c r="M1208" t="str">
        <f t="shared" si="379"/>
        <v>SVALLANT</v>
      </c>
    </row>
    <row r="1209" spans="1:13" ht="45" x14ac:dyDescent="0.25">
      <c r="A1209" t="str">
        <f t="shared" si="373"/>
        <v>10</v>
      </c>
      <c r="B1209" t="str">
        <f t="shared" si="374"/>
        <v>066</v>
      </c>
      <c r="C1209" t="str">
        <f t="shared" si="375"/>
        <v>3010106</v>
      </c>
      <c r="D1209" t="str">
        <f t="shared" si="376"/>
        <v>03</v>
      </c>
      <c r="E1209" t="str">
        <f t="shared" si="377"/>
        <v>661711</v>
      </c>
      <c r="F1209" t="str">
        <f>"08/31/16"</f>
        <v>08/31/16</v>
      </c>
      <c r="G1209" t="str">
        <f>"16696"</f>
        <v>16696</v>
      </c>
      <c r="H1209" s="3">
        <v>17348.900000000001</v>
      </c>
      <c r="I1209" s="3"/>
      <c r="J1209" t="str">
        <f t="shared" si="378"/>
        <v>VERSATILE COMMUNICATIONS INC</v>
      </c>
      <c r="K1209" t="str">
        <f t="shared" si="380"/>
        <v>3405235</v>
      </c>
      <c r="L1209" s="2" t="s">
        <v>35</v>
      </c>
      <c r="M1209" t="str">
        <f t="shared" si="379"/>
        <v>SVALLANT</v>
      </c>
    </row>
    <row r="1210" spans="1:13" ht="45" x14ac:dyDescent="0.25">
      <c r="A1210" t="str">
        <f t="shared" si="373"/>
        <v>10</v>
      </c>
      <c r="B1210" t="str">
        <f t="shared" si="374"/>
        <v>066</v>
      </c>
      <c r="C1210" t="str">
        <f t="shared" si="375"/>
        <v>3010106</v>
      </c>
      <c r="D1210" t="str">
        <f t="shared" si="376"/>
        <v>03</v>
      </c>
      <c r="E1210" t="str">
        <f t="shared" si="377"/>
        <v>661711</v>
      </c>
      <c r="F1210" t="str">
        <f>"08/31/16"</f>
        <v>08/31/16</v>
      </c>
      <c r="G1210" t="str">
        <f>"16697"</f>
        <v>16697</v>
      </c>
      <c r="H1210" s="3">
        <v>5919.5</v>
      </c>
      <c r="I1210" s="3"/>
      <c r="J1210" t="str">
        <f t="shared" si="378"/>
        <v>VERSATILE COMMUNICATIONS INC</v>
      </c>
      <c r="K1210" t="str">
        <f t="shared" si="380"/>
        <v>3405235</v>
      </c>
      <c r="L1210" s="2" t="s">
        <v>35</v>
      </c>
      <c r="M1210" t="str">
        <f t="shared" si="379"/>
        <v>SVALLANT</v>
      </c>
    </row>
    <row r="1211" spans="1:13" ht="45" x14ac:dyDescent="0.25">
      <c r="A1211" t="str">
        <f t="shared" si="373"/>
        <v>10</v>
      </c>
      <c r="B1211" t="str">
        <f t="shared" si="374"/>
        <v>066</v>
      </c>
      <c r="C1211" t="str">
        <f t="shared" si="375"/>
        <v>3010106</v>
      </c>
      <c r="D1211" t="str">
        <f t="shared" si="376"/>
        <v>03</v>
      </c>
      <c r="E1211" t="str">
        <f t="shared" si="377"/>
        <v>661711</v>
      </c>
      <c r="F1211" t="str">
        <f>"08/31/16"</f>
        <v>08/31/16</v>
      </c>
      <c r="G1211" t="str">
        <f>"16727"</f>
        <v>16727</v>
      </c>
      <c r="H1211" s="3">
        <v>40005.699999999997</v>
      </c>
      <c r="I1211" s="3"/>
      <c r="J1211" t="str">
        <f t="shared" si="378"/>
        <v>VERSATILE COMMUNICATIONS INC</v>
      </c>
      <c r="K1211" t="str">
        <f t="shared" si="380"/>
        <v>3405235</v>
      </c>
      <c r="L1211" s="2" t="s">
        <v>35</v>
      </c>
      <c r="M1211" t="str">
        <f t="shared" si="379"/>
        <v>SVALLANT</v>
      </c>
    </row>
    <row r="1212" spans="1:13" ht="45" x14ac:dyDescent="0.25">
      <c r="A1212" t="str">
        <f t="shared" si="373"/>
        <v>10</v>
      </c>
      <c r="B1212" t="str">
        <f t="shared" si="374"/>
        <v>066</v>
      </c>
      <c r="C1212" t="str">
        <f t="shared" si="375"/>
        <v>3010106</v>
      </c>
      <c r="D1212" t="str">
        <f t="shared" si="376"/>
        <v>03</v>
      </c>
      <c r="E1212" t="str">
        <f t="shared" si="377"/>
        <v>661711</v>
      </c>
      <c r="F1212" t="str">
        <f>"09/30/15"</f>
        <v>09/30/15</v>
      </c>
      <c r="G1212" t="str">
        <f>"11985"</f>
        <v>11985</v>
      </c>
      <c r="H1212" s="3">
        <v>4651.83</v>
      </c>
      <c r="I1212" s="3"/>
      <c r="J1212" t="str">
        <f t="shared" si="378"/>
        <v>VERSATILE COMMUNICATIONS INC</v>
      </c>
      <c r="K1212" t="str">
        <f t="shared" si="380"/>
        <v>3405235</v>
      </c>
      <c r="L1212" s="2" t="s">
        <v>35</v>
      </c>
      <c r="M1212" t="str">
        <f t="shared" si="379"/>
        <v>SVALLANT</v>
      </c>
    </row>
    <row r="1213" spans="1:13" ht="45" x14ac:dyDescent="0.25">
      <c r="A1213" t="str">
        <f t="shared" si="373"/>
        <v>10</v>
      </c>
      <c r="B1213" t="str">
        <f t="shared" si="374"/>
        <v>066</v>
      </c>
      <c r="C1213" t="str">
        <f t="shared" si="375"/>
        <v>3010106</v>
      </c>
      <c r="D1213" t="str">
        <f t="shared" si="376"/>
        <v>03</v>
      </c>
      <c r="E1213" t="str">
        <f t="shared" si="377"/>
        <v>661711</v>
      </c>
      <c r="F1213" t="str">
        <f>"09/30/15"</f>
        <v>09/30/15</v>
      </c>
      <c r="G1213" t="str">
        <f>"12755"</f>
        <v>12755</v>
      </c>
      <c r="H1213" s="3">
        <v>374</v>
      </c>
      <c r="I1213" s="3"/>
      <c r="J1213" t="str">
        <f t="shared" si="378"/>
        <v>VERSATILE COMMUNICATIONS INC</v>
      </c>
      <c r="K1213" t="str">
        <f t="shared" si="380"/>
        <v>3405235</v>
      </c>
      <c r="L1213" s="2" t="s">
        <v>35</v>
      </c>
      <c r="M1213" t="str">
        <f t="shared" si="379"/>
        <v>SVALLANT</v>
      </c>
    </row>
    <row r="1214" spans="1:13" ht="45" x14ac:dyDescent="0.25">
      <c r="A1214" t="str">
        <f t="shared" si="373"/>
        <v>10</v>
      </c>
      <c r="B1214" t="str">
        <f t="shared" si="374"/>
        <v>066</v>
      </c>
      <c r="C1214" t="str">
        <f t="shared" si="375"/>
        <v>3010106</v>
      </c>
      <c r="D1214" t="str">
        <f t="shared" si="376"/>
        <v>03</v>
      </c>
      <c r="E1214" t="str">
        <f t="shared" si="377"/>
        <v>661711</v>
      </c>
      <c r="F1214" t="str">
        <f>"09/30/16"</f>
        <v>09/30/16</v>
      </c>
      <c r="G1214" t="str">
        <f>"16728"</f>
        <v>16728</v>
      </c>
      <c r="H1214" s="3">
        <v>9983.5</v>
      </c>
      <c r="I1214" s="3"/>
      <c r="J1214" t="str">
        <f t="shared" si="378"/>
        <v>VERSATILE COMMUNICATIONS INC</v>
      </c>
      <c r="K1214" t="str">
        <f t="shared" si="380"/>
        <v>3405235</v>
      </c>
      <c r="L1214" s="2" t="s">
        <v>35</v>
      </c>
      <c r="M1214" t="str">
        <f t="shared" si="379"/>
        <v>SVALLANT</v>
      </c>
    </row>
    <row r="1215" spans="1:13" ht="45" x14ac:dyDescent="0.25">
      <c r="A1215" t="str">
        <f t="shared" si="373"/>
        <v>10</v>
      </c>
      <c r="B1215" t="str">
        <f t="shared" si="374"/>
        <v>066</v>
      </c>
      <c r="C1215" t="str">
        <f t="shared" si="375"/>
        <v>3010106</v>
      </c>
      <c r="D1215" t="str">
        <f t="shared" si="376"/>
        <v>03</v>
      </c>
      <c r="E1215" t="str">
        <f t="shared" si="377"/>
        <v>661711</v>
      </c>
      <c r="F1215" t="str">
        <f>"11/30/15"</f>
        <v>11/30/15</v>
      </c>
      <c r="G1215" t="str">
        <f>"13421"</f>
        <v>13421</v>
      </c>
      <c r="H1215" s="3">
        <v>2295.8000000000002</v>
      </c>
      <c r="I1215" s="3"/>
      <c r="J1215" t="str">
        <f t="shared" si="378"/>
        <v>VERSATILE COMMUNICATIONS INC</v>
      </c>
      <c r="K1215" t="str">
        <f t="shared" si="380"/>
        <v>3405235</v>
      </c>
      <c r="L1215" s="2" t="s">
        <v>35</v>
      </c>
      <c r="M1215" t="str">
        <f t="shared" si="379"/>
        <v>SVALLANT</v>
      </c>
    </row>
    <row r="1216" spans="1:13" ht="45" x14ac:dyDescent="0.25">
      <c r="A1216" t="str">
        <f t="shared" si="373"/>
        <v>10</v>
      </c>
      <c r="B1216" t="str">
        <f t="shared" si="374"/>
        <v>066</v>
      </c>
      <c r="C1216" t="str">
        <f t="shared" si="375"/>
        <v>3010106</v>
      </c>
      <c r="D1216" t="str">
        <f t="shared" si="376"/>
        <v>03</v>
      </c>
      <c r="E1216" t="str">
        <f t="shared" si="377"/>
        <v>661711</v>
      </c>
      <c r="F1216" t="str">
        <f>"12/31/15"</f>
        <v>12/31/15</v>
      </c>
      <c r="G1216" t="str">
        <f>"14185"</f>
        <v>14185</v>
      </c>
      <c r="H1216" s="3">
        <v>6070.3</v>
      </c>
      <c r="I1216" s="3"/>
      <c r="J1216" t="str">
        <f t="shared" si="378"/>
        <v>VERSATILE COMMUNICATIONS INC</v>
      </c>
      <c r="K1216" t="str">
        <f t="shared" si="380"/>
        <v>3405235</v>
      </c>
      <c r="L1216" s="2" t="s">
        <v>35</v>
      </c>
      <c r="M1216" t="str">
        <f t="shared" si="379"/>
        <v>SVALLANT</v>
      </c>
    </row>
    <row r="1217" spans="1:13" x14ac:dyDescent="0.25">
      <c r="A1217" t="str">
        <f t="shared" si="373"/>
        <v>10</v>
      </c>
      <c r="B1217" t="str">
        <f t="shared" si="374"/>
        <v>066</v>
      </c>
      <c r="C1217" t="str">
        <f t="shared" si="375"/>
        <v>3010106</v>
      </c>
      <c r="D1217" t="str">
        <f t="shared" si="376"/>
        <v>03</v>
      </c>
      <c r="E1217" t="str">
        <f t="shared" si="377"/>
        <v>661711</v>
      </c>
      <c r="F1217" t="str">
        <f>"04/06/17"</f>
        <v>04/06/17</v>
      </c>
      <c r="G1217" t="str">
        <f>"R17066SXA0405D"</f>
        <v>R17066SXA0405D</v>
      </c>
      <c r="H1217" s="3">
        <v>-1950.87</v>
      </c>
      <c r="I1217" s="3"/>
      <c r="J1217" t="str">
        <f>""</f>
        <v/>
      </c>
      <c r="K1217" t="str">
        <f>""</f>
        <v/>
      </c>
      <c r="L1217" s="2" t="str">
        <f>"CREDIT OWED FROM VERSATILE - COMPUTER INFRASTRUCTURE PROJECT CK 2147"</f>
        <v>CREDIT OWED FROM VERSATILE - COMPUTER INFRASTRUCTURE PROJECT CK 2147</v>
      </c>
      <c r="M1217" t="str">
        <f t="shared" si="379"/>
        <v>SVALLANT</v>
      </c>
    </row>
    <row r="1218" spans="1:13" x14ac:dyDescent="0.25">
      <c r="H1218" s="6">
        <f>SUM(H1181:H1217)</f>
        <v>1589962.39</v>
      </c>
      <c r="I1218" s="6">
        <f>SUM(H1181:H1217)</f>
        <v>1589962.39</v>
      </c>
      <c r="L1218" s="2"/>
      <c r="M1218" t="str">
        <f t="shared" si="379"/>
        <v>SVALLANT</v>
      </c>
    </row>
    <row r="1219" spans="1:13" x14ac:dyDescent="0.25">
      <c r="H1219" s="3"/>
      <c r="I1219" s="3"/>
      <c r="L1219" s="2"/>
    </row>
    <row r="1220" spans="1:13" x14ac:dyDescent="0.25">
      <c r="H1220" s="3"/>
      <c r="I1220" s="3"/>
      <c r="L1220" s="2"/>
    </row>
    <row r="1221" spans="1:13" x14ac:dyDescent="0.25">
      <c r="A1221" t="str">
        <f t="shared" ref="A1221:A1238" si="383">"10"</f>
        <v>10</v>
      </c>
      <c r="B1221" t="str">
        <f t="shared" ref="B1221:B1238" si="384">"066"</f>
        <v>066</v>
      </c>
      <c r="C1221" t="str">
        <f t="shared" ref="C1221:C1238" si="385">"3010106"</f>
        <v>3010106</v>
      </c>
      <c r="D1221" t="str">
        <f t="shared" ref="D1221:D1238" si="386">"03"</f>
        <v>03</v>
      </c>
      <c r="E1221" t="str">
        <f t="shared" ref="E1221:E1228" si="387">"634200"</f>
        <v>634200</v>
      </c>
      <c r="F1221" t="str">
        <f>"04/30/16"</f>
        <v>04/30/16</v>
      </c>
      <c r="G1221" t="str">
        <f>"18729"</f>
        <v>18729</v>
      </c>
      <c r="H1221" s="3">
        <v>3962.96</v>
      </c>
      <c r="I1221" s="3"/>
      <c r="J1221" t="str">
        <f t="shared" ref="J1221:J1238" si="388">"VISION III ARCHITECTS INC"</f>
        <v>VISION III ARCHITECTS INC</v>
      </c>
      <c r="K1221" t="str">
        <f>"3456970"</f>
        <v>3456970</v>
      </c>
      <c r="L1221" s="2" t="str">
        <f t="shared" ref="L1221:L1238" si="389">"A&amp;E FOR THE PASTORE COMPLEX - RIAG CUSTOMER SERVICE FACILITY PROJECT"</f>
        <v>A&amp;E FOR THE PASTORE COMPLEX - RIAG CUSTOMER SERVICE FACILITY PROJECT</v>
      </c>
    </row>
    <row r="1222" spans="1:13" x14ac:dyDescent="0.25">
      <c r="A1222" t="str">
        <f t="shared" si="383"/>
        <v>10</v>
      </c>
      <c r="B1222" t="str">
        <f t="shared" si="384"/>
        <v>066</v>
      </c>
      <c r="C1222" t="str">
        <f t="shared" si="385"/>
        <v>3010106</v>
      </c>
      <c r="D1222" t="str">
        <f t="shared" si="386"/>
        <v>03</v>
      </c>
      <c r="E1222" t="str">
        <f t="shared" si="387"/>
        <v>634200</v>
      </c>
      <c r="F1222" t="str">
        <f>"04/30/16"</f>
        <v>04/30/16</v>
      </c>
      <c r="G1222" t="str">
        <f>"18771"</f>
        <v>18771</v>
      </c>
      <c r="H1222" s="3">
        <v>35666.67</v>
      </c>
      <c r="I1222" s="3"/>
      <c r="J1222" t="str">
        <f t="shared" si="388"/>
        <v>VISION III ARCHITECTS INC</v>
      </c>
      <c r="K1222" t="str">
        <f>"3456970"</f>
        <v>3456970</v>
      </c>
      <c r="L1222" s="2" t="str">
        <f t="shared" si="389"/>
        <v>A&amp;E FOR THE PASTORE COMPLEX - RIAG CUSTOMER SERVICE FACILITY PROJECT</v>
      </c>
      <c r="M1222" t="str">
        <f t="shared" ref="M1222:M1239" si="390">"SVALLANT"</f>
        <v>SVALLANT</v>
      </c>
    </row>
    <row r="1223" spans="1:13" x14ac:dyDescent="0.25">
      <c r="A1223" t="str">
        <f t="shared" si="383"/>
        <v>10</v>
      </c>
      <c r="B1223" t="str">
        <f t="shared" si="384"/>
        <v>066</v>
      </c>
      <c r="C1223" t="str">
        <f t="shared" si="385"/>
        <v>3010106</v>
      </c>
      <c r="D1223" t="str">
        <f t="shared" si="386"/>
        <v>03</v>
      </c>
      <c r="E1223" t="str">
        <f t="shared" si="387"/>
        <v>634200</v>
      </c>
      <c r="F1223" t="str">
        <f>"05/31/16"</f>
        <v>05/31/16</v>
      </c>
      <c r="G1223" t="str">
        <f>"18866"</f>
        <v>18866</v>
      </c>
      <c r="H1223" s="3">
        <v>66066.41</v>
      </c>
      <c r="I1223" s="3"/>
      <c r="J1223" t="str">
        <f t="shared" si="388"/>
        <v>VISION III ARCHITECTS INC</v>
      </c>
      <c r="K1223" t="str">
        <f>"3456970"</f>
        <v>3456970</v>
      </c>
      <c r="L1223" s="2" t="str">
        <f t="shared" si="389"/>
        <v>A&amp;E FOR THE PASTORE COMPLEX - RIAG CUSTOMER SERVICE FACILITY PROJECT</v>
      </c>
      <c r="M1223" t="str">
        <f t="shared" si="390"/>
        <v>SVALLANT</v>
      </c>
    </row>
    <row r="1224" spans="1:13" x14ac:dyDescent="0.25">
      <c r="A1224" t="str">
        <f t="shared" si="383"/>
        <v>10</v>
      </c>
      <c r="B1224" t="str">
        <f t="shared" si="384"/>
        <v>066</v>
      </c>
      <c r="C1224" t="str">
        <f t="shared" si="385"/>
        <v>3010106</v>
      </c>
      <c r="D1224" t="str">
        <f t="shared" si="386"/>
        <v>03</v>
      </c>
      <c r="E1224" t="str">
        <f t="shared" si="387"/>
        <v>634200</v>
      </c>
      <c r="F1224" t="str">
        <f>"05/31/16"</f>
        <v>05/31/16</v>
      </c>
      <c r="G1224" t="str">
        <f>"18893"</f>
        <v>18893</v>
      </c>
      <c r="H1224" s="3">
        <v>17157.75</v>
      </c>
      <c r="I1224" s="3"/>
      <c r="J1224" t="str">
        <f t="shared" si="388"/>
        <v>VISION III ARCHITECTS INC</v>
      </c>
      <c r="K1224" t="str">
        <f>"3456970"</f>
        <v>3456970</v>
      </c>
      <c r="L1224" s="2" t="str">
        <f t="shared" si="389"/>
        <v>A&amp;E FOR THE PASTORE COMPLEX - RIAG CUSTOMER SERVICE FACILITY PROJECT</v>
      </c>
      <c r="M1224" t="str">
        <f t="shared" si="390"/>
        <v>SVALLANT</v>
      </c>
    </row>
    <row r="1225" spans="1:13" x14ac:dyDescent="0.25">
      <c r="A1225" t="str">
        <f t="shared" si="383"/>
        <v>10</v>
      </c>
      <c r="B1225" t="str">
        <f t="shared" si="384"/>
        <v>066</v>
      </c>
      <c r="C1225" t="str">
        <f t="shared" si="385"/>
        <v>3010106</v>
      </c>
      <c r="D1225" t="str">
        <f t="shared" si="386"/>
        <v>03</v>
      </c>
      <c r="E1225" t="str">
        <f t="shared" si="387"/>
        <v>634200</v>
      </c>
      <c r="F1225" t="str">
        <f>"08/31/16"</f>
        <v>08/31/16</v>
      </c>
      <c r="G1225" t="str">
        <f>"18939"</f>
        <v>18939</v>
      </c>
      <c r="H1225" s="3">
        <v>25098.76</v>
      </c>
      <c r="I1225" s="3"/>
      <c r="J1225" t="str">
        <f t="shared" si="388"/>
        <v>VISION III ARCHITECTS INC</v>
      </c>
      <c r="K1225" t="str">
        <f t="shared" ref="K1225:K1238" si="391">"3480194"</f>
        <v>3480194</v>
      </c>
      <c r="L1225" s="2" t="str">
        <f t="shared" si="389"/>
        <v>A&amp;E FOR THE PASTORE COMPLEX - RIAG CUSTOMER SERVICE FACILITY PROJECT</v>
      </c>
      <c r="M1225" t="str">
        <f t="shared" si="390"/>
        <v>SVALLANT</v>
      </c>
    </row>
    <row r="1226" spans="1:13" x14ac:dyDescent="0.25">
      <c r="A1226" t="str">
        <f t="shared" si="383"/>
        <v>10</v>
      </c>
      <c r="B1226" t="str">
        <f t="shared" si="384"/>
        <v>066</v>
      </c>
      <c r="C1226" t="str">
        <f t="shared" si="385"/>
        <v>3010106</v>
      </c>
      <c r="D1226" t="str">
        <f t="shared" si="386"/>
        <v>03</v>
      </c>
      <c r="E1226" t="str">
        <f t="shared" si="387"/>
        <v>634200</v>
      </c>
      <c r="F1226" t="str">
        <f>"09/30/16"</f>
        <v>09/30/16</v>
      </c>
      <c r="G1226" t="str">
        <f>"19048"</f>
        <v>19048</v>
      </c>
      <c r="H1226" s="3">
        <v>52354.16</v>
      </c>
      <c r="I1226" s="3"/>
      <c r="J1226" t="str">
        <f t="shared" si="388"/>
        <v>VISION III ARCHITECTS INC</v>
      </c>
      <c r="K1226" t="str">
        <f t="shared" si="391"/>
        <v>3480194</v>
      </c>
      <c r="L1226" s="2" t="str">
        <f t="shared" si="389"/>
        <v>A&amp;E FOR THE PASTORE COMPLEX - RIAG CUSTOMER SERVICE FACILITY PROJECT</v>
      </c>
      <c r="M1226" t="str">
        <f t="shared" si="390"/>
        <v>SVALLANT</v>
      </c>
    </row>
    <row r="1227" spans="1:13" x14ac:dyDescent="0.25">
      <c r="A1227" t="str">
        <f t="shared" si="383"/>
        <v>10</v>
      </c>
      <c r="B1227" t="str">
        <f t="shared" si="384"/>
        <v>066</v>
      </c>
      <c r="C1227" t="str">
        <f t="shared" si="385"/>
        <v>3010106</v>
      </c>
      <c r="D1227" t="str">
        <f t="shared" si="386"/>
        <v>03</v>
      </c>
      <c r="E1227" t="str">
        <f t="shared" si="387"/>
        <v>634200</v>
      </c>
      <c r="F1227" t="str">
        <f>"09/30/16"</f>
        <v>09/30/16</v>
      </c>
      <c r="G1227" t="str">
        <f>"19128"</f>
        <v>19128</v>
      </c>
      <c r="H1227" s="3">
        <v>29409.83</v>
      </c>
      <c r="I1227" s="3"/>
      <c r="J1227" t="str">
        <f t="shared" si="388"/>
        <v>VISION III ARCHITECTS INC</v>
      </c>
      <c r="K1227" t="str">
        <f t="shared" si="391"/>
        <v>3480194</v>
      </c>
      <c r="L1227" s="2" t="str">
        <f t="shared" si="389"/>
        <v>A&amp;E FOR THE PASTORE COMPLEX - RIAG CUSTOMER SERVICE FACILITY PROJECT</v>
      </c>
      <c r="M1227" t="str">
        <f t="shared" si="390"/>
        <v>SVALLANT</v>
      </c>
    </row>
    <row r="1228" spans="1:13" x14ac:dyDescent="0.25">
      <c r="A1228" t="str">
        <f t="shared" si="383"/>
        <v>10</v>
      </c>
      <c r="B1228" t="str">
        <f t="shared" si="384"/>
        <v>066</v>
      </c>
      <c r="C1228" t="str">
        <f t="shared" si="385"/>
        <v>3010106</v>
      </c>
      <c r="D1228" t="str">
        <f t="shared" si="386"/>
        <v>03</v>
      </c>
      <c r="E1228" t="str">
        <f t="shared" si="387"/>
        <v>634200</v>
      </c>
      <c r="F1228" t="str">
        <f>"09/30/16"</f>
        <v>09/30/16</v>
      </c>
      <c r="G1228" t="str">
        <f>"19215"</f>
        <v>19215</v>
      </c>
      <c r="H1228" s="3">
        <v>32755.919999999998</v>
      </c>
      <c r="I1228" s="3"/>
      <c r="J1228" t="str">
        <f t="shared" si="388"/>
        <v>VISION III ARCHITECTS INC</v>
      </c>
      <c r="K1228" t="str">
        <f t="shared" si="391"/>
        <v>3480194</v>
      </c>
      <c r="L1228" s="2" t="str">
        <f t="shared" si="389"/>
        <v>A&amp;E FOR THE PASTORE COMPLEX - RIAG CUSTOMER SERVICE FACILITY PROJECT</v>
      </c>
      <c r="M1228" t="str">
        <f t="shared" si="390"/>
        <v>SVALLANT</v>
      </c>
    </row>
    <row r="1229" spans="1:13" x14ac:dyDescent="0.25">
      <c r="A1229" t="str">
        <f t="shared" si="383"/>
        <v>10</v>
      </c>
      <c r="B1229" t="str">
        <f t="shared" si="384"/>
        <v>066</v>
      </c>
      <c r="C1229" t="str">
        <f t="shared" si="385"/>
        <v>3010106</v>
      </c>
      <c r="D1229" t="str">
        <f t="shared" si="386"/>
        <v>03</v>
      </c>
      <c r="E1229" t="str">
        <f t="shared" ref="E1229:E1238" si="392">"661351"</f>
        <v>661351</v>
      </c>
      <c r="F1229" t="str">
        <f>"02/28/17"</f>
        <v>02/28/17</v>
      </c>
      <c r="G1229" t="str">
        <f>"19447R"</f>
        <v>19447R</v>
      </c>
      <c r="H1229" s="3">
        <v>35082.400000000001</v>
      </c>
      <c r="I1229" s="3"/>
      <c r="J1229" t="str">
        <f t="shared" si="388"/>
        <v>VISION III ARCHITECTS INC</v>
      </c>
      <c r="K1229" t="str">
        <f t="shared" si="391"/>
        <v>3480194</v>
      </c>
      <c r="L1229" s="2" t="str">
        <f t="shared" si="389"/>
        <v>A&amp;E FOR THE PASTORE COMPLEX - RIAG CUSTOMER SERVICE FACILITY PROJECT</v>
      </c>
      <c r="M1229" t="str">
        <f t="shared" si="390"/>
        <v>SVALLANT</v>
      </c>
    </row>
    <row r="1230" spans="1:13" x14ac:dyDescent="0.25">
      <c r="A1230" t="str">
        <f t="shared" si="383"/>
        <v>10</v>
      </c>
      <c r="B1230" t="str">
        <f t="shared" si="384"/>
        <v>066</v>
      </c>
      <c r="C1230" t="str">
        <f t="shared" si="385"/>
        <v>3010106</v>
      </c>
      <c r="D1230" t="str">
        <f t="shared" si="386"/>
        <v>03</v>
      </c>
      <c r="E1230" t="str">
        <f t="shared" si="392"/>
        <v>661351</v>
      </c>
      <c r="F1230" t="str">
        <f>"03/31/17"</f>
        <v>03/31/17</v>
      </c>
      <c r="G1230" t="str">
        <f>"19473"</f>
        <v>19473</v>
      </c>
      <c r="H1230" s="3">
        <v>19746.13</v>
      </c>
      <c r="I1230" s="3"/>
      <c r="J1230" t="str">
        <f t="shared" si="388"/>
        <v>VISION III ARCHITECTS INC</v>
      </c>
      <c r="K1230" t="str">
        <f t="shared" si="391"/>
        <v>3480194</v>
      </c>
      <c r="L1230" s="2" t="str">
        <f t="shared" si="389"/>
        <v>A&amp;E FOR THE PASTORE COMPLEX - RIAG CUSTOMER SERVICE FACILITY PROJECT</v>
      </c>
      <c r="M1230" t="str">
        <f t="shared" si="390"/>
        <v>SVALLANT</v>
      </c>
    </row>
    <row r="1231" spans="1:13" x14ac:dyDescent="0.25">
      <c r="A1231" t="str">
        <f t="shared" si="383"/>
        <v>10</v>
      </c>
      <c r="B1231" t="str">
        <f t="shared" si="384"/>
        <v>066</v>
      </c>
      <c r="C1231" t="str">
        <f t="shared" si="385"/>
        <v>3010106</v>
      </c>
      <c r="D1231" t="str">
        <f t="shared" si="386"/>
        <v>03</v>
      </c>
      <c r="E1231" t="str">
        <f t="shared" si="392"/>
        <v>661351</v>
      </c>
      <c r="F1231" t="str">
        <f>"05/31/17"</f>
        <v>05/31/17</v>
      </c>
      <c r="G1231" t="str">
        <f>"19555"</f>
        <v>19555</v>
      </c>
      <c r="H1231" s="3">
        <v>25417.87</v>
      </c>
      <c r="I1231" s="3"/>
      <c r="J1231" t="str">
        <f t="shared" si="388"/>
        <v>VISION III ARCHITECTS INC</v>
      </c>
      <c r="K1231" t="str">
        <f t="shared" si="391"/>
        <v>3480194</v>
      </c>
      <c r="L1231" s="2" t="str">
        <f t="shared" si="389"/>
        <v>A&amp;E FOR THE PASTORE COMPLEX - RIAG CUSTOMER SERVICE FACILITY PROJECT</v>
      </c>
      <c r="M1231" t="str">
        <f t="shared" si="390"/>
        <v>SVALLANT</v>
      </c>
    </row>
    <row r="1232" spans="1:13" x14ac:dyDescent="0.25">
      <c r="A1232" t="str">
        <f t="shared" si="383"/>
        <v>10</v>
      </c>
      <c r="B1232" t="str">
        <f t="shared" si="384"/>
        <v>066</v>
      </c>
      <c r="C1232" t="str">
        <f t="shared" si="385"/>
        <v>3010106</v>
      </c>
      <c r="D1232" t="str">
        <f t="shared" si="386"/>
        <v>03</v>
      </c>
      <c r="E1232" t="str">
        <f t="shared" si="392"/>
        <v>661351</v>
      </c>
      <c r="F1232" t="str">
        <f>"06/30/17"</f>
        <v>06/30/17</v>
      </c>
      <c r="G1232" t="str">
        <f>"19621"</f>
        <v>19621</v>
      </c>
      <c r="H1232" s="3">
        <v>7669.03</v>
      </c>
      <c r="I1232" s="3"/>
      <c r="J1232" t="str">
        <f t="shared" si="388"/>
        <v>VISION III ARCHITECTS INC</v>
      </c>
      <c r="K1232" t="str">
        <f t="shared" si="391"/>
        <v>3480194</v>
      </c>
      <c r="L1232" s="2" t="str">
        <f t="shared" si="389"/>
        <v>A&amp;E FOR THE PASTORE COMPLEX - RIAG CUSTOMER SERVICE FACILITY PROJECT</v>
      </c>
      <c r="M1232" t="str">
        <f t="shared" si="390"/>
        <v>SVALLANT</v>
      </c>
    </row>
    <row r="1233" spans="1:13" x14ac:dyDescent="0.25">
      <c r="A1233" t="str">
        <f t="shared" si="383"/>
        <v>10</v>
      </c>
      <c r="B1233" t="str">
        <f t="shared" si="384"/>
        <v>066</v>
      </c>
      <c r="C1233" t="str">
        <f t="shared" si="385"/>
        <v>3010106</v>
      </c>
      <c r="D1233" t="str">
        <f t="shared" si="386"/>
        <v>03</v>
      </c>
      <c r="E1233" t="str">
        <f t="shared" si="392"/>
        <v>661351</v>
      </c>
      <c r="F1233" t="str">
        <f>"06/30/17"</f>
        <v>06/30/17</v>
      </c>
      <c r="G1233" t="str">
        <f>"19715"</f>
        <v>19715</v>
      </c>
      <c r="H1233" s="3">
        <v>5019.75</v>
      </c>
      <c r="I1233" s="3"/>
      <c r="J1233" t="str">
        <f t="shared" si="388"/>
        <v>VISION III ARCHITECTS INC</v>
      </c>
      <c r="K1233" t="str">
        <f t="shared" si="391"/>
        <v>3480194</v>
      </c>
      <c r="L1233" s="2" t="str">
        <f t="shared" si="389"/>
        <v>A&amp;E FOR THE PASTORE COMPLEX - RIAG CUSTOMER SERVICE FACILITY PROJECT</v>
      </c>
      <c r="M1233" t="str">
        <f t="shared" si="390"/>
        <v>SVALLANT</v>
      </c>
    </row>
    <row r="1234" spans="1:13" x14ac:dyDescent="0.25">
      <c r="A1234" t="str">
        <f t="shared" si="383"/>
        <v>10</v>
      </c>
      <c r="B1234" t="str">
        <f t="shared" si="384"/>
        <v>066</v>
      </c>
      <c r="C1234" t="str">
        <f t="shared" si="385"/>
        <v>3010106</v>
      </c>
      <c r="D1234" t="str">
        <f t="shared" si="386"/>
        <v>03</v>
      </c>
      <c r="E1234" t="str">
        <f t="shared" si="392"/>
        <v>661351</v>
      </c>
      <c r="F1234" t="str">
        <f>"06/30/17"</f>
        <v>06/30/17</v>
      </c>
      <c r="G1234" t="str">
        <f>"19797"</f>
        <v>19797</v>
      </c>
      <c r="H1234" s="3">
        <v>15059.26</v>
      </c>
      <c r="I1234" s="3"/>
      <c r="J1234" t="str">
        <f t="shared" si="388"/>
        <v>VISION III ARCHITECTS INC</v>
      </c>
      <c r="K1234" t="str">
        <f t="shared" si="391"/>
        <v>3480194</v>
      </c>
      <c r="L1234" s="2" t="str">
        <f t="shared" si="389"/>
        <v>A&amp;E FOR THE PASTORE COMPLEX - RIAG CUSTOMER SERVICE FACILITY PROJECT</v>
      </c>
      <c r="M1234" t="str">
        <f t="shared" si="390"/>
        <v>SVALLANT</v>
      </c>
    </row>
    <row r="1235" spans="1:13" x14ac:dyDescent="0.25">
      <c r="A1235" t="str">
        <f t="shared" si="383"/>
        <v>10</v>
      </c>
      <c r="B1235" t="str">
        <f t="shared" si="384"/>
        <v>066</v>
      </c>
      <c r="C1235" t="str">
        <f t="shared" si="385"/>
        <v>3010106</v>
      </c>
      <c r="D1235" t="str">
        <f t="shared" si="386"/>
        <v>03</v>
      </c>
      <c r="E1235" t="str">
        <f t="shared" si="392"/>
        <v>661351</v>
      </c>
      <c r="F1235" t="str">
        <f>"12/31/16"</f>
        <v>12/31/16</v>
      </c>
      <c r="G1235" t="str">
        <f>"19275"</f>
        <v>19275</v>
      </c>
      <c r="H1235" s="3">
        <v>-119730.01</v>
      </c>
      <c r="I1235" s="3"/>
      <c r="J1235" t="str">
        <f t="shared" si="388"/>
        <v>VISION III ARCHITECTS INC</v>
      </c>
      <c r="K1235" t="str">
        <f t="shared" si="391"/>
        <v>3480194</v>
      </c>
      <c r="L1235" s="2" t="str">
        <f t="shared" si="389"/>
        <v>A&amp;E FOR THE PASTORE COMPLEX - RIAG CUSTOMER SERVICE FACILITY PROJECT</v>
      </c>
      <c r="M1235" t="str">
        <f t="shared" si="390"/>
        <v>SVALLANT</v>
      </c>
    </row>
    <row r="1236" spans="1:13" x14ac:dyDescent="0.25">
      <c r="A1236" t="str">
        <f t="shared" si="383"/>
        <v>10</v>
      </c>
      <c r="B1236" t="str">
        <f t="shared" si="384"/>
        <v>066</v>
      </c>
      <c r="C1236" t="str">
        <f t="shared" si="385"/>
        <v>3010106</v>
      </c>
      <c r="D1236" t="str">
        <f t="shared" si="386"/>
        <v>03</v>
      </c>
      <c r="E1236" t="str">
        <f t="shared" si="392"/>
        <v>661351</v>
      </c>
      <c r="F1236" t="str">
        <f>"12/31/16"</f>
        <v>12/31/16</v>
      </c>
      <c r="G1236" t="str">
        <f>"19275"</f>
        <v>19275</v>
      </c>
      <c r="H1236" s="3">
        <v>118730.01</v>
      </c>
      <c r="I1236" s="3"/>
      <c r="J1236" t="str">
        <f t="shared" si="388"/>
        <v>VISION III ARCHITECTS INC</v>
      </c>
      <c r="K1236" t="str">
        <f t="shared" si="391"/>
        <v>3480194</v>
      </c>
      <c r="L1236" s="2" t="str">
        <f t="shared" si="389"/>
        <v>A&amp;E FOR THE PASTORE COMPLEX - RIAG CUSTOMER SERVICE FACILITY PROJECT</v>
      </c>
      <c r="M1236" t="str">
        <f t="shared" si="390"/>
        <v>SVALLANT</v>
      </c>
    </row>
    <row r="1237" spans="1:13" x14ac:dyDescent="0.25">
      <c r="A1237" t="str">
        <f t="shared" si="383"/>
        <v>10</v>
      </c>
      <c r="B1237" t="str">
        <f t="shared" si="384"/>
        <v>066</v>
      </c>
      <c r="C1237" t="str">
        <f t="shared" si="385"/>
        <v>3010106</v>
      </c>
      <c r="D1237" t="str">
        <f t="shared" si="386"/>
        <v>03</v>
      </c>
      <c r="E1237" t="str">
        <f t="shared" si="392"/>
        <v>661351</v>
      </c>
      <c r="F1237" t="str">
        <f>"12/31/16"</f>
        <v>12/31/16</v>
      </c>
      <c r="G1237" t="str">
        <f>"19275"</f>
        <v>19275</v>
      </c>
      <c r="H1237" s="3">
        <v>119730.01</v>
      </c>
      <c r="I1237" s="3"/>
      <c r="J1237" t="str">
        <f t="shared" si="388"/>
        <v>VISION III ARCHITECTS INC</v>
      </c>
      <c r="K1237" t="str">
        <f t="shared" si="391"/>
        <v>3480194</v>
      </c>
      <c r="L1237" s="2" t="str">
        <f t="shared" si="389"/>
        <v>A&amp;E FOR THE PASTORE COMPLEX - RIAG CUSTOMER SERVICE FACILITY PROJECT</v>
      </c>
      <c r="M1237" t="str">
        <f t="shared" si="390"/>
        <v>SVALLANT</v>
      </c>
    </row>
    <row r="1238" spans="1:13" x14ac:dyDescent="0.25">
      <c r="A1238" t="str">
        <f t="shared" si="383"/>
        <v>10</v>
      </c>
      <c r="B1238" t="str">
        <f t="shared" si="384"/>
        <v>066</v>
      </c>
      <c r="C1238" t="str">
        <f t="shared" si="385"/>
        <v>3010106</v>
      </c>
      <c r="D1238" t="str">
        <f t="shared" si="386"/>
        <v>03</v>
      </c>
      <c r="E1238" t="str">
        <f t="shared" si="392"/>
        <v>661351</v>
      </c>
      <c r="F1238" t="str">
        <f>"12/31/16"</f>
        <v>12/31/16</v>
      </c>
      <c r="G1238" t="str">
        <f>"19321"</f>
        <v>19321</v>
      </c>
      <c r="H1238" s="3">
        <v>30927.96</v>
      </c>
      <c r="I1238" s="3"/>
      <c r="J1238" t="str">
        <f t="shared" si="388"/>
        <v>VISION III ARCHITECTS INC</v>
      </c>
      <c r="K1238" t="str">
        <f t="shared" si="391"/>
        <v>3480194</v>
      </c>
      <c r="L1238" s="2" t="str">
        <f t="shared" si="389"/>
        <v>A&amp;E FOR THE PASTORE COMPLEX - RIAG CUSTOMER SERVICE FACILITY PROJECT</v>
      </c>
      <c r="M1238" t="str">
        <f t="shared" si="390"/>
        <v>SVALLANT</v>
      </c>
    </row>
    <row r="1239" spans="1:13" x14ac:dyDescent="0.25">
      <c r="H1239" s="6">
        <f>SUM(H1221:H1238)</f>
        <v>520124.87000000011</v>
      </c>
      <c r="I1239" s="6">
        <f>SUM(H1221:H1238)</f>
        <v>520124.87000000011</v>
      </c>
      <c r="L1239" s="2"/>
      <c r="M1239" t="str">
        <f t="shared" si="390"/>
        <v>SVALLANT</v>
      </c>
    </row>
    <row r="1240" spans="1:13" x14ac:dyDescent="0.25">
      <c r="H1240" s="3"/>
      <c r="I1240" s="3"/>
      <c r="L1240" s="2"/>
    </row>
    <row r="1241" spans="1:13" x14ac:dyDescent="0.25">
      <c r="A1241" t="str">
        <f>"10"</f>
        <v>10</v>
      </c>
      <c r="B1241" t="str">
        <f>"066"</f>
        <v>066</v>
      </c>
      <c r="C1241" t="str">
        <f>"3010106"</f>
        <v>3010106</v>
      </c>
      <c r="D1241" t="str">
        <f>"03"</f>
        <v>03</v>
      </c>
      <c r="E1241" t="str">
        <f>"640100"</f>
        <v>640100</v>
      </c>
      <c r="F1241" t="str">
        <f>"05/31/17"</f>
        <v>05/31/17</v>
      </c>
      <c r="G1241" t="str">
        <f>"9447792780"</f>
        <v>9447792780</v>
      </c>
      <c r="H1241" s="3">
        <v>385.92</v>
      </c>
      <c r="I1241" s="3"/>
      <c r="J1241" t="str">
        <f>"W W GRAINGER INC"</f>
        <v>W W GRAINGER INC</v>
      </c>
      <c r="K1241" t="str">
        <f>""</f>
        <v/>
      </c>
      <c r="L1241" s="2" t="str">
        <f>"AIR FILTERS FOR HVAC SYSTEM AT 180 SOUTH MAIN STREET"</f>
        <v>AIR FILTERS FOR HVAC SYSTEM AT 180 SOUTH MAIN STREET</v>
      </c>
    </row>
    <row r="1242" spans="1:13" x14ac:dyDescent="0.25">
      <c r="A1242" t="str">
        <f>"10"</f>
        <v>10</v>
      </c>
      <c r="B1242" t="str">
        <f>"066"</f>
        <v>066</v>
      </c>
      <c r="C1242" t="str">
        <f>"3010106"</f>
        <v>3010106</v>
      </c>
      <c r="D1242" t="str">
        <f>"03"</f>
        <v>03</v>
      </c>
      <c r="E1242" t="str">
        <f>"640100"</f>
        <v>640100</v>
      </c>
      <c r="F1242" t="str">
        <f>"05/31/17"</f>
        <v>05/31/17</v>
      </c>
      <c r="G1242" t="str">
        <f>"9447792798"</f>
        <v>9447792798</v>
      </c>
      <c r="H1242" s="3">
        <v>140.58000000000001</v>
      </c>
      <c r="I1242" s="3"/>
      <c r="J1242" t="str">
        <f>"W W GRAINGER INC"</f>
        <v>W W GRAINGER INC</v>
      </c>
      <c r="K1242" t="str">
        <f>""</f>
        <v/>
      </c>
      <c r="L1242" s="2" t="str">
        <f>"HVAC AIR FLITERS FOR 180 SOUTH MAIN STREET"</f>
        <v>HVAC AIR FLITERS FOR 180 SOUTH MAIN STREET</v>
      </c>
      <c r="M1242" t="str">
        <f>"MFUSCO"</f>
        <v>MFUSCO</v>
      </c>
    </row>
    <row r="1243" spans="1:13" x14ac:dyDescent="0.25">
      <c r="A1243" t="str">
        <f>"10"</f>
        <v>10</v>
      </c>
      <c r="B1243" t="str">
        <f>"066"</f>
        <v>066</v>
      </c>
      <c r="C1243" t="str">
        <f>"3010106"</f>
        <v>3010106</v>
      </c>
      <c r="D1243" t="str">
        <f>"03"</f>
        <v>03</v>
      </c>
      <c r="E1243" t="str">
        <f>"640100"</f>
        <v>640100</v>
      </c>
      <c r="F1243" t="str">
        <f>"09/30/14"</f>
        <v>09/30/14</v>
      </c>
      <c r="G1243" t="str">
        <f>"ACCT#858951023"</f>
        <v>ACCT#858951023</v>
      </c>
      <c r="H1243" s="3">
        <v>132.66</v>
      </c>
      <c r="I1243" s="3"/>
      <c r="J1243" t="str">
        <f>"W W GRAINGER INC"</f>
        <v>W W GRAINGER INC</v>
      </c>
      <c r="K1243" t="str">
        <f>""</f>
        <v/>
      </c>
      <c r="L1243" s="2" t="str">
        <f>"INV# 9544322150-180 SOUTH MAIN STREET BLDG."</f>
        <v>INV# 9544322150-180 SOUTH MAIN STREET BLDG.</v>
      </c>
      <c r="M1243" t="str">
        <f>"MFUSCO"</f>
        <v>MFUSCO</v>
      </c>
    </row>
    <row r="1244" spans="1:13" x14ac:dyDescent="0.25">
      <c r="H1244" s="6">
        <f>SUM(H1241:H1243)</f>
        <v>659.16</v>
      </c>
      <c r="I1244" s="6">
        <f>SUM(H1241:H1243)</f>
        <v>659.16</v>
      </c>
      <c r="L1244" s="2"/>
      <c r="M1244" t="str">
        <f>"MFUSCO"</f>
        <v>MFUSCO</v>
      </c>
    </row>
    <row r="1245" spans="1:13" x14ac:dyDescent="0.25">
      <c r="H1245" s="3"/>
      <c r="I1245" s="3"/>
      <c r="L1245" s="2"/>
    </row>
    <row r="1246" spans="1:13" x14ac:dyDescent="0.25">
      <c r="A1246" t="str">
        <f>"10"</f>
        <v>10</v>
      </c>
      <c r="B1246" t="str">
        <f>"066"</f>
        <v>066</v>
      </c>
      <c r="C1246" t="str">
        <f>"3010106"</f>
        <v>3010106</v>
      </c>
      <c r="D1246" t="str">
        <f>"03"</f>
        <v>03</v>
      </c>
      <c r="E1246" t="str">
        <f>"643110"</f>
        <v>643110</v>
      </c>
      <c r="F1246" t="str">
        <f>"01/31/16"</f>
        <v>01/31/16</v>
      </c>
      <c r="G1246" t="str">
        <f>"31167"</f>
        <v>31167</v>
      </c>
      <c r="H1246" s="6">
        <v>397.76</v>
      </c>
      <c r="I1246" s="6">
        <f>SUM(H1246)</f>
        <v>397.76</v>
      </c>
      <c r="J1246" t="str">
        <f>"WARROOM DOCUMENT SOLUTIONS OF RI INC"</f>
        <v>WARROOM DOCUMENT SOLUTIONS OF RI INC</v>
      </c>
      <c r="K1246" t="str">
        <f>"3450878"</f>
        <v>3450878</v>
      </c>
      <c r="L1246" s="2" t="str">
        <f>"copies of A&amp;E RFP"</f>
        <v>copies of A&amp;E RFP</v>
      </c>
    </row>
    <row r="1247" spans="1:13" x14ac:dyDescent="0.25">
      <c r="H1247" s="3"/>
      <c r="I1247" s="3"/>
      <c r="L1247" s="2"/>
      <c r="M1247" t="str">
        <f>"SVALLANT"</f>
        <v>SVALLANT</v>
      </c>
    </row>
    <row r="1248" spans="1:13" x14ac:dyDescent="0.25">
      <c r="A1248" t="str">
        <f>"10"</f>
        <v>10</v>
      </c>
      <c r="B1248" t="str">
        <f>"066"</f>
        <v>066</v>
      </c>
      <c r="C1248" t="str">
        <f>"3010106"</f>
        <v>3010106</v>
      </c>
      <c r="D1248" t="str">
        <f>"03"</f>
        <v>03</v>
      </c>
      <c r="E1248" t="str">
        <f>"640100"</f>
        <v>640100</v>
      </c>
      <c r="F1248" t="str">
        <f>"11/30/14"</f>
        <v>11/30/14</v>
      </c>
      <c r="G1248" t="str">
        <f>"3907651-0460-4"</f>
        <v>3907651-0460-4</v>
      </c>
      <c r="H1248" s="3">
        <v>-0.01</v>
      </c>
      <c r="I1248" s="3"/>
      <c r="J1248" t="str">
        <f>"WASTE MANAGEMENT RI INC"</f>
        <v>WASTE MANAGEMENT RI INC</v>
      </c>
      <c r="K1248" t="str">
        <f>""</f>
        <v/>
      </c>
      <c r="L1248" s="2" t="str">
        <f>"ACCT: 607-0052229-0460-8 - DUMPSTER AT 180 SOUTH MAIN STREET"</f>
        <v>ACCT: 607-0052229-0460-8 - DUMPSTER AT 180 SOUTH MAIN STREET</v>
      </c>
    </row>
    <row r="1249" spans="1:13" ht="30" x14ac:dyDescent="0.25">
      <c r="A1249" t="str">
        <f>"10"</f>
        <v>10</v>
      </c>
      <c r="B1249" t="str">
        <f>"066"</f>
        <v>066</v>
      </c>
      <c r="C1249" t="str">
        <f>"3010106"</f>
        <v>3010106</v>
      </c>
      <c r="D1249" t="str">
        <f>"03"</f>
        <v>03</v>
      </c>
      <c r="E1249" t="str">
        <f>"640100"</f>
        <v>640100</v>
      </c>
      <c r="F1249" t="str">
        <f>"11/30/14"</f>
        <v>11/30/14</v>
      </c>
      <c r="G1249" t="str">
        <f>"3907651-0460-4"</f>
        <v>3907651-0460-4</v>
      </c>
      <c r="H1249" s="3">
        <v>156.58000000000001</v>
      </c>
      <c r="I1249" s="3"/>
      <c r="J1249" t="str">
        <f>"WASTE MANAGEMENT RI INC"</f>
        <v>WASTE MANAGEMENT RI INC</v>
      </c>
      <c r="K1249" t="str">
        <f>"3345525"</f>
        <v>3345525</v>
      </c>
      <c r="L1249" s="2" t="str">
        <f>"MPA-415 REFUSE NORTHWEST / PROVIDENCE REGION 15 YD X 1 PICKUP PER MONTH  (PER HAUL)"</f>
        <v>MPA-415 REFUSE NORTHWEST / PROVIDENCE REGION 15 YD X 1 PICKUP PER MONTH  (PER HAUL)</v>
      </c>
      <c r="M1249" t="str">
        <f>"SVALLANT"</f>
        <v>SVALLANT</v>
      </c>
    </row>
    <row r="1250" spans="1:13" ht="30" x14ac:dyDescent="0.25">
      <c r="A1250" t="str">
        <f>"10"</f>
        <v>10</v>
      </c>
      <c r="B1250" t="str">
        <f>"066"</f>
        <v>066</v>
      </c>
      <c r="C1250" t="str">
        <f>"3010106"</f>
        <v>3010106</v>
      </c>
      <c r="D1250" t="str">
        <f>"03"</f>
        <v>03</v>
      </c>
      <c r="E1250" t="str">
        <f>"640100"</f>
        <v>640100</v>
      </c>
      <c r="F1250" t="str">
        <f>"11/30/14"</f>
        <v>11/30/14</v>
      </c>
      <c r="G1250" t="str">
        <f>"3907651-0460-4"</f>
        <v>3907651-0460-4</v>
      </c>
      <c r="H1250" s="3">
        <v>107.43</v>
      </c>
      <c r="I1250" s="3"/>
      <c r="J1250" t="str">
        <f>"WASTE MANAGEMENT RI INC"</f>
        <v>WASTE MANAGEMENT RI INC</v>
      </c>
      <c r="K1250" t="str">
        <f>"3345525"</f>
        <v>3345525</v>
      </c>
      <c r="L1250" s="2" t="str">
        <f>"MPA-415 REFUSE NORTHWEST / PROVIDENCE REGION 15 CU YARD OPEN ROLL-OFFS DISPOSAL - PRICE PER TON"</f>
        <v>MPA-415 REFUSE NORTHWEST / PROVIDENCE REGION 15 CU YARD OPEN ROLL-OFFS DISPOSAL - PRICE PER TON</v>
      </c>
      <c r="M1250" t="str">
        <f>"SVALLANT"</f>
        <v>SVALLANT</v>
      </c>
    </row>
    <row r="1251" spans="1:13" x14ac:dyDescent="0.25">
      <c r="H1251" s="6">
        <f>SUM(H1248:H1250)</f>
        <v>264</v>
      </c>
      <c r="I1251" s="6">
        <f>SUM(H1248:H1250)</f>
        <v>264</v>
      </c>
      <c r="L1251" s="2"/>
      <c r="M1251" t="str">
        <f>"SVALLANT"</f>
        <v>SVALLANT</v>
      </c>
    </row>
    <row r="1252" spans="1:13" x14ac:dyDescent="0.25">
      <c r="H1252" s="3"/>
      <c r="I1252" s="3"/>
      <c r="L1252" s="2"/>
    </row>
    <row r="1253" spans="1:13" x14ac:dyDescent="0.25">
      <c r="A1253" t="str">
        <f>"10"</f>
        <v>10</v>
      </c>
      <c r="B1253" t="str">
        <f>"066"</f>
        <v>066</v>
      </c>
      <c r="C1253" t="str">
        <f>"3010106"</f>
        <v>3010106</v>
      </c>
      <c r="D1253" t="str">
        <f>"03"</f>
        <v>03</v>
      </c>
      <c r="E1253" t="str">
        <f>"643110"</f>
        <v>643110</v>
      </c>
      <c r="F1253" t="str">
        <f>"09/30/14"</f>
        <v>09/30/14</v>
      </c>
      <c r="G1253" t="str">
        <f>"15_983_083114_10_0001"</f>
        <v>15_983_083114_10_0001</v>
      </c>
      <c r="H1253" s="3">
        <v>38.119999999999997</v>
      </c>
      <c r="I1253" s="3"/>
      <c r="J1253" t="str">
        <f>"WB MASON CO INC"</f>
        <v>WB MASON CO INC</v>
      </c>
      <c r="K1253" t="str">
        <f>""</f>
        <v/>
      </c>
      <c r="L1253" s="2" t="str">
        <f>""</f>
        <v/>
      </c>
    </row>
    <row r="1254" spans="1:13" x14ac:dyDescent="0.25">
      <c r="A1254" t="str">
        <f>"10"</f>
        <v>10</v>
      </c>
      <c r="B1254" t="str">
        <f>"066"</f>
        <v>066</v>
      </c>
      <c r="C1254" t="str">
        <f>"3010106"</f>
        <v>3010106</v>
      </c>
      <c r="D1254" t="str">
        <f>"03"</f>
        <v>03</v>
      </c>
      <c r="E1254" t="str">
        <f>"643110"</f>
        <v>643110</v>
      </c>
      <c r="F1254" t="str">
        <f>"10/31/15"</f>
        <v>10/31/15</v>
      </c>
      <c r="G1254" t="str">
        <f>"16_983_093015_10_0001"</f>
        <v>16_983_093015_10_0001</v>
      </c>
      <c r="H1254" s="3">
        <v>56.18</v>
      </c>
      <c r="I1254" s="3"/>
      <c r="J1254" t="str">
        <f>"WB MASON CO INC"</f>
        <v>WB MASON CO INC</v>
      </c>
      <c r="K1254" t="str">
        <f>""</f>
        <v/>
      </c>
      <c r="L1254" s="2" t="str">
        <f>""</f>
        <v/>
      </c>
      <c r="M1254" t="str">
        <f>"BATCHPRO"</f>
        <v>BATCHPRO</v>
      </c>
    </row>
    <row r="1255" spans="1:13" x14ac:dyDescent="0.25">
      <c r="A1255" t="str">
        <f>"10"</f>
        <v>10</v>
      </c>
      <c r="B1255" t="str">
        <f>"066"</f>
        <v>066</v>
      </c>
      <c r="C1255" t="str">
        <f>"3010106"</f>
        <v>3010106</v>
      </c>
      <c r="D1255" t="str">
        <f>"03"</f>
        <v>03</v>
      </c>
      <c r="E1255" t="str">
        <f>"643110"</f>
        <v>643110</v>
      </c>
      <c r="F1255" t="str">
        <f>"10/31/15"</f>
        <v>10/31/15</v>
      </c>
      <c r="G1255" t="str">
        <f>"16_983_093015_10_0001"</f>
        <v>16_983_093015_10_0001</v>
      </c>
      <c r="H1255" s="3">
        <v>-1.83</v>
      </c>
      <c r="I1255" s="3"/>
      <c r="J1255" t="str">
        <f>"WB MASON CO INC"</f>
        <v>WB MASON CO INC</v>
      </c>
      <c r="K1255" t="str">
        <f>""</f>
        <v/>
      </c>
      <c r="L1255" s="2" t="str">
        <f>""</f>
        <v/>
      </c>
      <c r="M1255" t="str">
        <f>"BATCHPRO"</f>
        <v>BATCHPRO</v>
      </c>
    </row>
    <row r="1256" spans="1:13" x14ac:dyDescent="0.25">
      <c r="A1256" t="str">
        <f t="shared" ref="A1256" si="393">"10"</f>
        <v>10</v>
      </c>
      <c r="B1256" t="str">
        <f t="shared" si="2"/>
        <v>066</v>
      </c>
      <c r="C1256" t="str">
        <f t="shared" si="3"/>
        <v>3010106</v>
      </c>
      <c r="D1256" t="str">
        <f t="shared" si="4"/>
        <v>03</v>
      </c>
      <c r="E1256" t="str">
        <f>"643110"</f>
        <v>643110</v>
      </c>
      <c r="F1256" t="str">
        <f>"03/02/17"</f>
        <v>03/02/17</v>
      </c>
      <c r="G1256" t="str">
        <f>"J17068LMS001 Adjustmen"</f>
        <v>J17068LMS001 Adjustmen</v>
      </c>
      <c r="H1256" s="3">
        <v>-3.2</v>
      </c>
      <c r="I1256" s="3"/>
      <c r="J1256" t="str">
        <f>""</f>
        <v/>
      </c>
      <c r="K1256" t="str">
        <f>""</f>
        <v/>
      </c>
      <c r="L1256" s="2" t="str">
        <f>"TO ALLOCATE  2016 WB MASON OFFICE SUPPLIES REBATE"</f>
        <v>TO ALLOCATE  2016 WB MASON OFFICE SUPPLIES REBATE</v>
      </c>
      <c r="M1256" t="str">
        <f>"BATCHPRO"</f>
        <v>BATCHPRO</v>
      </c>
    </row>
    <row r="1257" spans="1:13" x14ac:dyDescent="0.25">
      <c r="H1257" s="6">
        <f>SUM(H1253:H1256)</f>
        <v>89.27</v>
      </c>
      <c r="I1257" s="6">
        <f>SUM(H1253:H1256)</f>
        <v>89.27</v>
      </c>
      <c r="L1257" s="2"/>
    </row>
    <row r="1258" spans="1:13" x14ac:dyDescent="0.25">
      <c r="H1258" s="3"/>
      <c r="I1258" s="3"/>
      <c r="L1258" s="2"/>
    </row>
    <row r="1259" spans="1:13" x14ac:dyDescent="0.25">
      <c r="A1259" t="str">
        <f>"10"</f>
        <v>10</v>
      </c>
      <c r="B1259" t="str">
        <f>"066"</f>
        <v>066</v>
      </c>
      <c r="C1259" t="str">
        <f>"3010106"</f>
        <v>3010106</v>
      </c>
      <c r="D1259" t="str">
        <f>"03"</f>
        <v>03</v>
      </c>
      <c r="E1259" t="str">
        <f>"640100"</f>
        <v>640100</v>
      </c>
      <c r="F1259" t="str">
        <f>"12/31/15"</f>
        <v>12/31/15</v>
      </c>
      <c r="G1259" t="str">
        <f>"28438"</f>
        <v>28438</v>
      </c>
      <c r="H1259" s="6">
        <v>1400</v>
      </c>
      <c r="I1259" s="6">
        <f>SUM(H1259)</f>
        <v>1400</v>
      </c>
      <c r="J1259" s="1" t="str">
        <f>"WESTERN OIL INC"</f>
        <v>WESTERN OIL INC</v>
      </c>
      <c r="K1259" t="str">
        <f>"3442886"</f>
        <v>3442886</v>
      </c>
      <c r="L1259" s="2" t="str">
        <f>"removal of 50 gallon tank in elevator room"</f>
        <v>removal of 50 gallon tank in elevator room</v>
      </c>
      <c r="M1259" t="str">
        <f>"SVALLANT"</f>
        <v>SVALLANT</v>
      </c>
    </row>
    <row r="1260" spans="1:13" x14ac:dyDescent="0.25">
      <c r="H1260" s="3"/>
      <c r="I1260" s="3"/>
      <c r="J1260" s="1"/>
      <c r="L1260" s="2"/>
    </row>
    <row r="1261" spans="1:13" x14ac:dyDescent="0.25">
      <c r="A1261" t="str">
        <f>"10"</f>
        <v>10</v>
      </c>
      <c r="B1261" t="str">
        <f>"066"</f>
        <v>066</v>
      </c>
      <c r="C1261" t="str">
        <f>"3010106"</f>
        <v>3010106</v>
      </c>
      <c r="D1261" t="str">
        <f>"03"</f>
        <v>03</v>
      </c>
      <c r="E1261" t="str">
        <f>"661701"</f>
        <v>661701</v>
      </c>
      <c r="F1261" t="str">
        <f>"06/30/17"</f>
        <v>06/30/17</v>
      </c>
      <c r="G1261" t="str">
        <f>"C86110"</f>
        <v>C86110</v>
      </c>
      <c r="H1261" s="3">
        <v>2944</v>
      </c>
      <c r="I1261" s="3"/>
      <c r="J1261" s="1" t="str">
        <f>"WHALLEY COMPUTER ASSOCIATES INC"</f>
        <v>WHALLEY COMPUTER ASSOCIATES INC</v>
      </c>
      <c r="K1261" t="str">
        <f>"3511959"</f>
        <v>3511959</v>
      </c>
      <c r="L1261" s="2" t="str">
        <f>"APA-17092  FY17  MICROSOFT SURFACE USB 3.0 ETHERNET ADAPTERS;QTY 100 NTE $ 2,944.00"</f>
        <v>APA-17092  FY17  MICROSOFT SURFACE USB 3.0 ETHERNET ADAPTERS;QTY 100 NTE $ 2,944.00</v>
      </c>
      <c r="M1261" t="str">
        <f>"SVALLANT"</f>
        <v>SVALLANT</v>
      </c>
    </row>
    <row r="1262" spans="1:13" ht="30" x14ac:dyDescent="0.25">
      <c r="A1262" t="str">
        <f>"10"</f>
        <v>10</v>
      </c>
      <c r="B1262" t="str">
        <f>"066"</f>
        <v>066</v>
      </c>
      <c r="C1262" t="str">
        <f>"3010106"</f>
        <v>3010106</v>
      </c>
      <c r="D1262" t="str">
        <f>"03"</f>
        <v>03</v>
      </c>
      <c r="E1262" t="str">
        <f>"661701"</f>
        <v>661701</v>
      </c>
      <c r="F1262" t="str">
        <f>"06/30/17"</f>
        <v>06/30/17</v>
      </c>
      <c r="G1262" t="str">
        <f>"C86110"</f>
        <v>C86110</v>
      </c>
      <c r="H1262" s="3">
        <v>4154</v>
      </c>
      <c r="I1262" s="3"/>
      <c r="J1262" s="1" t="str">
        <f>"WHALLEY COMPUTER ASSOCIATES INC"</f>
        <v>WHALLEY COMPUTER ASSOCIATES INC</v>
      </c>
      <c r="K1262" t="str">
        <f>"3511959"</f>
        <v>3511959</v>
      </c>
      <c r="L1262" s="2" t="str">
        <f>"APA-17092  FY17  KENSINGTON BLACKBELT(TRADE MARKED) 2ND DEGREE PROTECTIVE CASES;QTY 100 NTE $4,154.00"</f>
        <v>APA-17092  FY17  KENSINGTON BLACKBELT(TRADE MARKED) 2ND DEGREE PROTECTIVE CASES;QTY 100 NTE $4,154.00</v>
      </c>
      <c r="M1262" t="str">
        <f>"SVALLANT"</f>
        <v>SVALLANT</v>
      </c>
    </row>
    <row r="1263" spans="1:13" x14ac:dyDescent="0.25">
      <c r="H1263" s="6">
        <f>SUM(H1261:H1262)</f>
        <v>7098</v>
      </c>
      <c r="I1263" s="6">
        <f>SUM(H1261:H1262)</f>
        <v>7098</v>
      </c>
      <c r="J1263" s="1"/>
      <c r="L1263" s="2"/>
    </row>
    <row r="1264" spans="1:13" x14ac:dyDescent="0.25">
      <c r="H1264" s="3"/>
      <c r="I1264" s="3"/>
      <c r="J1264" s="1"/>
      <c r="L1264" s="2"/>
    </row>
    <row r="1265" spans="1:13" x14ac:dyDescent="0.25">
      <c r="A1265" t="str">
        <f t="shared" ref="A1265:A1274" si="394">"10"</f>
        <v>10</v>
      </c>
      <c r="B1265" t="str">
        <f t="shared" ref="B1265:B1274" si="395">"066"</f>
        <v>066</v>
      </c>
      <c r="C1265" t="str">
        <f t="shared" ref="C1265:C1274" si="396">"3010106"</f>
        <v>3010106</v>
      </c>
      <c r="D1265" t="str">
        <f t="shared" ref="D1265:D1274" si="397">"03"</f>
        <v>03</v>
      </c>
      <c r="E1265" t="str">
        <f t="shared" ref="E1265:E1274" si="398">"631200"</f>
        <v>631200</v>
      </c>
      <c r="F1265" t="str">
        <f>"01/31/16"</f>
        <v>01/31/16</v>
      </c>
      <c r="G1265" t="str">
        <f>"RIAG 180-03"</f>
        <v>RIAG 180-03</v>
      </c>
      <c r="H1265" s="3">
        <v>29827.08</v>
      </c>
      <c r="I1265" s="3"/>
      <c r="J1265" s="1" t="str">
        <f t="shared" ref="J1265:J1274" si="399">"WILLIAM E MARCHETTI JR"</f>
        <v>WILLIAM E MARCHETTI JR</v>
      </c>
      <c r="K1265" t="str">
        <f>"3434054"</f>
        <v>3434054</v>
      </c>
      <c r="L1265" s="2" t="str">
        <f t="shared" ref="L1265:L1270" si="400">"OWNER'S REPRESENTATIVE SERVICES FOR 180 SOUTH MAIN STREET"</f>
        <v>OWNER'S REPRESENTATIVE SERVICES FOR 180 SOUTH MAIN STREET</v>
      </c>
      <c r="M1265" t="str">
        <f t="shared" ref="M1265:M1274" si="401">"SVALLANT"</f>
        <v>SVALLANT</v>
      </c>
    </row>
    <row r="1266" spans="1:13" x14ac:dyDescent="0.25">
      <c r="A1266" t="str">
        <f t="shared" si="394"/>
        <v>10</v>
      </c>
      <c r="B1266" t="str">
        <f t="shared" si="395"/>
        <v>066</v>
      </c>
      <c r="C1266" t="str">
        <f t="shared" si="396"/>
        <v>3010106</v>
      </c>
      <c r="D1266" t="str">
        <f t="shared" si="397"/>
        <v>03</v>
      </c>
      <c r="E1266" t="str">
        <f t="shared" si="398"/>
        <v>631200</v>
      </c>
      <c r="F1266" t="str">
        <f>"03/31/16"</f>
        <v>03/31/16</v>
      </c>
      <c r="G1266" t="str">
        <f>"RIAG 180-04"</f>
        <v>RIAG 180-04</v>
      </c>
      <c r="H1266" s="3">
        <v>21734.34</v>
      </c>
      <c r="I1266" s="3"/>
      <c r="J1266" s="1" t="str">
        <f t="shared" si="399"/>
        <v>WILLIAM E MARCHETTI JR</v>
      </c>
      <c r="K1266" t="str">
        <f>"3434054"</f>
        <v>3434054</v>
      </c>
      <c r="L1266" s="2" t="str">
        <f t="shared" si="400"/>
        <v>OWNER'S REPRESENTATIVE SERVICES FOR 180 SOUTH MAIN STREET</v>
      </c>
      <c r="M1266" t="str">
        <f t="shared" si="401"/>
        <v>SVALLANT</v>
      </c>
    </row>
    <row r="1267" spans="1:13" x14ac:dyDescent="0.25">
      <c r="A1267" t="str">
        <f t="shared" si="394"/>
        <v>10</v>
      </c>
      <c r="B1267" t="str">
        <f t="shared" si="395"/>
        <v>066</v>
      </c>
      <c r="C1267" t="str">
        <f t="shared" si="396"/>
        <v>3010106</v>
      </c>
      <c r="D1267" t="str">
        <f t="shared" si="397"/>
        <v>03</v>
      </c>
      <c r="E1267" t="str">
        <f t="shared" si="398"/>
        <v>631200</v>
      </c>
      <c r="F1267" t="str">
        <f>"03/31/17"</f>
        <v>03/31/17</v>
      </c>
      <c r="G1267" t="str">
        <f>"RIAG 180-09"</f>
        <v>RIAG 180-09</v>
      </c>
      <c r="H1267" s="3">
        <v>39003.839999999997</v>
      </c>
      <c r="I1267" s="3"/>
      <c r="J1267" s="1" t="str">
        <f t="shared" si="399"/>
        <v>WILLIAM E MARCHETTI JR</v>
      </c>
      <c r="K1267" t="str">
        <f>"3478666"</f>
        <v>3478666</v>
      </c>
      <c r="L1267" s="2" t="str">
        <f t="shared" si="400"/>
        <v>OWNER'S REPRESENTATIVE SERVICES FOR 180 SOUTH MAIN STREET</v>
      </c>
      <c r="M1267" t="str">
        <f t="shared" si="401"/>
        <v>SVALLANT</v>
      </c>
    </row>
    <row r="1268" spans="1:13" x14ac:dyDescent="0.25">
      <c r="A1268" t="str">
        <f t="shared" si="394"/>
        <v>10</v>
      </c>
      <c r="B1268" t="str">
        <f t="shared" si="395"/>
        <v>066</v>
      </c>
      <c r="C1268" t="str">
        <f t="shared" si="396"/>
        <v>3010106</v>
      </c>
      <c r="D1268" t="str">
        <f t="shared" si="397"/>
        <v>03</v>
      </c>
      <c r="E1268" t="str">
        <f t="shared" si="398"/>
        <v>631200</v>
      </c>
      <c r="F1268" t="str">
        <f>"04/30/16"</f>
        <v>04/30/16</v>
      </c>
      <c r="G1268" t="str">
        <f>"RIAG 180-05"</f>
        <v>RIAG 180-05</v>
      </c>
      <c r="H1268" s="3">
        <v>21958.799999999999</v>
      </c>
      <c r="I1268" s="3"/>
      <c r="J1268" s="1" t="str">
        <f t="shared" si="399"/>
        <v>WILLIAM E MARCHETTI JR</v>
      </c>
      <c r="K1268" t="str">
        <f>"3434054"</f>
        <v>3434054</v>
      </c>
      <c r="L1268" s="2" t="str">
        <f t="shared" si="400"/>
        <v>OWNER'S REPRESENTATIVE SERVICES FOR 180 SOUTH MAIN STREET</v>
      </c>
      <c r="M1268" t="str">
        <f t="shared" si="401"/>
        <v>SVALLANT</v>
      </c>
    </row>
    <row r="1269" spans="1:13" x14ac:dyDescent="0.25">
      <c r="A1269" t="str">
        <f t="shared" si="394"/>
        <v>10</v>
      </c>
      <c r="B1269" t="str">
        <f t="shared" si="395"/>
        <v>066</v>
      </c>
      <c r="C1269" t="str">
        <f t="shared" si="396"/>
        <v>3010106</v>
      </c>
      <c r="D1269" t="str">
        <f t="shared" si="397"/>
        <v>03</v>
      </c>
      <c r="E1269" t="str">
        <f t="shared" si="398"/>
        <v>631200</v>
      </c>
      <c r="F1269" t="str">
        <f>"06/30/16"</f>
        <v>06/30/16</v>
      </c>
      <c r="G1269" t="str">
        <f>"RIAG 180-06"</f>
        <v>RIAG 180-06</v>
      </c>
      <c r="H1269" s="3">
        <v>27375.42</v>
      </c>
      <c r="I1269" s="3"/>
      <c r="J1269" s="1" t="str">
        <f t="shared" si="399"/>
        <v>WILLIAM E MARCHETTI JR</v>
      </c>
      <c r="K1269" t="str">
        <f>"3434054"</f>
        <v>3434054</v>
      </c>
      <c r="L1269" s="2" t="str">
        <f t="shared" si="400"/>
        <v>OWNER'S REPRESENTATIVE SERVICES FOR 180 SOUTH MAIN STREET</v>
      </c>
      <c r="M1269" t="str">
        <f t="shared" si="401"/>
        <v>SVALLANT</v>
      </c>
    </row>
    <row r="1270" spans="1:13" x14ac:dyDescent="0.25">
      <c r="A1270" t="str">
        <f t="shared" si="394"/>
        <v>10</v>
      </c>
      <c r="B1270" t="str">
        <f t="shared" si="395"/>
        <v>066</v>
      </c>
      <c r="C1270" t="str">
        <f t="shared" si="396"/>
        <v>3010106</v>
      </c>
      <c r="D1270" t="str">
        <f t="shared" si="397"/>
        <v>03</v>
      </c>
      <c r="E1270" t="str">
        <f t="shared" si="398"/>
        <v>631200</v>
      </c>
      <c r="F1270" t="str">
        <f>"06/30/17"</f>
        <v>06/30/17</v>
      </c>
      <c r="G1270" t="str">
        <f>"RIAG 180-10"</f>
        <v>RIAG 180-10</v>
      </c>
      <c r="H1270" s="3">
        <v>37386.51</v>
      </c>
      <c r="I1270" s="3"/>
      <c r="J1270" s="1" t="str">
        <f t="shared" si="399"/>
        <v>WILLIAM E MARCHETTI JR</v>
      </c>
      <c r="K1270" t="str">
        <f>"3478666"</f>
        <v>3478666</v>
      </c>
      <c r="L1270" s="2" t="str">
        <f t="shared" si="400"/>
        <v>OWNER'S REPRESENTATIVE SERVICES FOR 180 SOUTH MAIN STREET</v>
      </c>
      <c r="M1270" t="str">
        <f t="shared" si="401"/>
        <v>SVALLANT</v>
      </c>
    </row>
    <row r="1271" spans="1:13" ht="30" x14ac:dyDescent="0.25">
      <c r="A1271" t="str">
        <f t="shared" si="394"/>
        <v>10</v>
      </c>
      <c r="B1271" t="str">
        <f t="shared" si="395"/>
        <v>066</v>
      </c>
      <c r="C1271" t="str">
        <f t="shared" si="396"/>
        <v>3010106</v>
      </c>
      <c r="D1271" t="str">
        <f t="shared" si="397"/>
        <v>03</v>
      </c>
      <c r="E1271" t="str">
        <f t="shared" si="398"/>
        <v>631200</v>
      </c>
      <c r="F1271" t="str">
        <f>"08/31/16"</f>
        <v>08/31/16</v>
      </c>
      <c r="G1271" t="str">
        <f>"RIAG 180-07"</f>
        <v>RIAG 180-07</v>
      </c>
      <c r="H1271" s="3">
        <v>17064.18</v>
      </c>
      <c r="I1271" s="3"/>
      <c r="J1271" s="1" t="str">
        <f t="shared" si="399"/>
        <v>WILLIAM E MARCHETTI JR</v>
      </c>
      <c r="K1271" t="str">
        <f>"3481410"</f>
        <v>3481410</v>
      </c>
      <c r="L1271" s="2" t="str">
        <f>"6/18/16-7/31/16 -OWNER'S REPRESENTATIVE SERVICES FOR 180 SOUTH MAIN STREET (FOR LAST PAYMENT UNDER ORIGINAL CONTRACT DATES)"</f>
        <v>6/18/16-7/31/16 -OWNER'S REPRESENTATIVE SERVICES FOR 180 SOUTH MAIN STREET (FOR LAST PAYMENT UNDER ORIGINAL CONTRACT DATES)</v>
      </c>
      <c r="M1271" t="str">
        <f t="shared" si="401"/>
        <v>SVALLANT</v>
      </c>
    </row>
    <row r="1272" spans="1:13" x14ac:dyDescent="0.25">
      <c r="A1272" t="str">
        <f t="shared" si="394"/>
        <v>10</v>
      </c>
      <c r="B1272" t="str">
        <f t="shared" si="395"/>
        <v>066</v>
      </c>
      <c r="C1272" t="str">
        <f t="shared" si="396"/>
        <v>3010106</v>
      </c>
      <c r="D1272" t="str">
        <f t="shared" si="397"/>
        <v>03</v>
      </c>
      <c r="E1272" t="str">
        <f t="shared" si="398"/>
        <v>631200</v>
      </c>
      <c r="F1272" t="str">
        <f>"09/30/15"</f>
        <v>09/30/15</v>
      </c>
      <c r="G1272" t="str">
        <f>"RIAG 180-01"</f>
        <v>RIAG 180-01</v>
      </c>
      <c r="H1272" s="3">
        <v>25476.5</v>
      </c>
      <c r="I1272" s="3"/>
      <c r="J1272" s="1" t="str">
        <f t="shared" si="399"/>
        <v>WILLIAM E MARCHETTI JR</v>
      </c>
      <c r="K1272" t="str">
        <f>"3434054"</f>
        <v>3434054</v>
      </c>
      <c r="L1272" s="2" t="str">
        <f>"OWNER'S REPRESENTATIVE SERVICES FOR 180 SOUTH MAIN STREET"</f>
        <v>OWNER'S REPRESENTATIVE SERVICES FOR 180 SOUTH MAIN STREET</v>
      </c>
      <c r="M1272" t="str">
        <f t="shared" si="401"/>
        <v>SVALLANT</v>
      </c>
    </row>
    <row r="1273" spans="1:13" x14ac:dyDescent="0.25">
      <c r="A1273" t="str">
        <f t="shared" si="394"/>
        <v>10</v>
      </c>
      <c r="B1273" t="str">
        <f t="shared" si="395"/>
        <v>066</v>
      </c>
      <c r="C1273" t="str">
        <f t="shared" si="396"/>
        <v>3010106</v>
      </c>
      <c r="D1273" t="str">
        <f t="shared" si="397"/>
        <v>03</v>
      </c>
      <c r="E1273" t="str">
        <f t="shared" si="398"/>
        <v>631200</v>
      </c>
      <c r="F1273" t="str">
        <f>"11/30/15"</f>
        <v>11/30/15</v>
      </c>
      <c r="G1273" t="str">
        <f>"RIAG 180-02"</f>
        <v>RIAG 180-02</v>
      </c>
      <c r="H1273" s="3">
        <v>22561.71</v>
      </c>
      <c r="I1273" s="3"/>
      <c r="J1273" s="1" t="str">
        <f t="shared" si="399"/>
        <v>WILLIAM E MARCHETTI JR</v>
      </c>
      <c r="K1273" t="str">
        <f>"3434054"</f>
        <v>3434054</v>
      </c>
      <c r="L1273" s="2" t="str">
        <f>"OWNER'S REPRESENTATIVE SERVICES FOR 180 SOUTH MAIN STREET"</f>
        <v>OWNER'S REPRESENTATIVE SERVICES FOR 180 SOUTH MAIN STREET</v>
      </c>
      <c r="M1273" t="str">
        <f t="shared" si="401"/>
        <v>SVALLANT</v>
      </c>
    </row>
    <row r="1274" spans="1:13" x14ac:dyDescent="0.25">
      <c r="A1274" t="str">
        <f t="shared" si="394"/>
        <v>10</v>
      </c>
      <c r="B1274" t="str">
        <f t="shared" si="395"/>
        <v>066</v>
      </c>
      <c r="C1274" t="str">
        <f t="shared" si="396"/>
        <v>3010106</v>
      </c>
      <c r="D1274" t="str">
        <f t="shared" si="397"/>
        <v>03</v>
      </c>
      <c r="E1274" t="str">
        <f t="shared" si="398"/>
        <v>631200</v>
      </c>
      <c r="F1274" t="str">
        <f>"11/30/16"</f>
        <v>11/30/16</v>
      </c>
      <c r="G1274" t="str">
        <f>"RIAG 180-08"</f>
        <v>RIAG 180-08</v>
      </c>
      <c r="H1274" s="3">
        <v>46672.89</v>
      </c>
      <c r="I1274" s="3"/>
      <c r="J1274" s="1" t="str">
        <f t="shared" si="399"/>
        <v>WILLIAM E MARCHETTI JR</v>
      </c>
      <c r="K1274" t="str">
        <f>"3478666"</f>
        <v>3478666</v>
      </c>
      <c r="L1274" s="2" t="str">
        <f>"OWNER'S REPRESENTATIVE SERVICES FOR 180 SOUTH MAIN STREET"</f>
        <v>OWNER'S REPRESENTATIVE SERVICES FOR 180 SOUTH MAIN STREET</v>
      </c>
      <c r="M1274" t="str">
        <f t="shared" si="401"/>
        <v>SVALLANT</v>
      </c>
    </row>
    <row r="1275" spans="1:13" x14ac:dyDescent="0.25">
      <c r="H1275" s="6">
        <f>SUM(H1265:H1274)</f>
        <v>289061.26999999996</v>
      </c>
      <c r="I1275" s="6">
        <f>SUM(H1265:H1274)</f>
        <v>289061.26999999996</v>
      </c>
      <c r="J1275" s="1"/>
      <c r="L1275" s="2"/>
    </row>
    <row r="1276" spans="1:13" x14ac:dyDescent="0.25">
      <c r="H1276" s="1"/>
      <c r="J1276" s="1"/>
      <c r="L1276" s="2"/>
    </row>
    <row r="1277" spans="1:13" x14ac:dyDescent="0.25">
      <c r="A1277" t="str">
        <f>"10"</f>
        <v>10</v>
      </c>
      <c r="B1277" t="str">
        <f>"066"</f>
        <v>066</v>
      </c>
      <c r="C1277" t="str">
        <f>"3010106"</f>
        <v>3010106</v>
      </c>
      <c r="D1277" t="str">
        <f>"03"</f>
        <v>03</v>
      </c>
      <c r="E1277" t="str">
        <f>"660010"</f>
        <v>660010</v>
      </c>
      <c r="F1277" t="str">
        <f>"11/09/16"</f>
        <v>11/09/16</v>
      </c>
      <c r="G1277" t="str">
        <f>"J17066MEF0181"</f>
        <v>J17066MEF0181</v>
      </c>
      <c r="H1277" s="3">
        <v>455000</v>
      </c>
      <c r="I1277" s="3"/>
      <c r="J1277" s="1" t="str">
        <f>""</f>
        <v/>
      </c>
      <c r="K1277" t="str">
        <f>""</f>
        <v/>
      </c>
      <c r="L1277" s="2" t="str">
        <f>"TRANSFER OF GOOGLE FUNDS FOR SECURITY WORK"</f>
        <v>TRANSFER OF GOOGLE FUNDS FOR SECURITY WORK</v>
      </c>
    </row>
    <row r="1278" spans="1:13" x14ac:dyDescent="0.25">
      <c r="A1278" t="str">
        <f>"10"</f>
        <v>10</v>
      </c>
      <c r="B1278" t="str">
        <f>"066"</f>
        <v>066</v>
      </c>
      <c r="C1278" t="str">
        <f>"3010106"</f>
        <v>3010106</v>
      </c>
      <c r="D1278" t="str">
        <f>"03"</f>
        <v>03</v>
      </c>
      <c r="E1278" t="str">
        <f>"660010"</f>
        <v>660010</v>
      </c>
      <c r="F1278" t="str">
        <f>"04/14/17"</f>
        <v>04/14/17</v>
      </c>
      <c r="G1278" t="str">
        <f>"J17066MEF0487"</f>
        <v>J17066MEF0487</v>
      </c>
      <c r="H1278" s="3">
        <v>5757.15</v>
      </c>
      <c r="I1278" s="3"/>
      <c r="J1278" s="1" t="str">
        <f>""</f>
        <v/>
      </c>
      <c r="K1278" t="str">
        <f>""</f>
        <v/>
      </c>
      <c r="L1278" s="2" t="str">
        <f>"FINAL PAYMENT FOR SECURITY WORK-GOOGLE FUNDS"</f>
        <v>FINAL PAYMENT FOR SECURITY WORK-GOOGLE FUNDS</v>
      </c>
    </row>
    <row r="1279" spans="1:13" x14ac:dyDescent="0.25">
      <c r="H1279" s="6">
        <f>SUM(H1277:H1278)</f>
        <v>460757.15</v>
      </c>
      <c r="I1279" s="6">
        <f>SUM(H1277:H1278)</f>
        <v>460757.15</v>
      </c>
      <c r="J1279" s="1"/>
      <c r="L1279" s="2"/>
    </row>
    <row r="1280" spans="1:13" x14ac:dyDescent="0.25">
      <c r="L1280" s="2"/>
    </row>
    <row r="1281" spans="8:12" x14ac:dyDescent="0.25">
      <c r="L1281" s="2"/>
    </row>
    <row r="1282" spans="8:12" x14ac:dyDescent="0.25">
      <c r="H1282" s="5">
        <f>H1279+H1275+H1263+H1259+H1257+H1251+H1246+H1244+H1239+H1218+H1179+H1134+H1121+H1119+H1089+H1056+H1054+H1052+H1040+H1027+H1025+H1005+H995+H993+H989+H987+H980+H968+H896+H889+H884+H882+H876+H874+H869+H865+H855+H812+H731+H681+H670+H628+H623+H615+H577+H565+H563+H529+H527+H523+H482+H455+H451+H447+H445+H441+H426+H424+H415+H403+H401+H386+H384+H378+H358+H331+H323+H319+H310+H294+H283+H254+H252+H250+H244+H240+H236+H186+H178+H153+H151+H146+H66+H54+H52+H50+H46+H44+H35+H29+H23+H18</f>
        <v>15686178.410000002</v>
      </c>
      <c r="I1282" s="6">
        <f>SUM(I11:I1279)</f>
        <v>15686178.41</v>
      </c>
      <c r="L1282" s="2"/>
    </row>
    <row r="1283" spans="8:12" x14ac:dyDescent="0.25">
      <c r="L1283" s="2"/>
    </row>
    <row r="1284" spans="8:12" x14ac:dyDescent="0.25">
      <c r="L128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9"/>
  <sheetViews>
    <sheetView topLeftCell="A280" workbookViewId="0">
      <selection activeCell="H320" sqref="H320"/>
    </sheetView>
  </sheetViews>
  <sheetFormatPr defaultRowHeight="15" x14ac:dyDescent="0.25"/>
  <cols>
    <col min="1" max="1" width="15.7109375" customWidth="1"/>
    <col min="2" max="2" width="3.85546875" customWidth="1"/>
    <col min="4" max="4" width="9" customWidth="1"/>
    <col min="5" max="5" width="7.28515625" customWidth="1"/>
    <col min="7" max="7" width="8.85546875" customWidth="1"/>
    <col min="8" max="8" width="14.5703125" bestFit="1" customWidth="1"/>
    <col min="9" max="9" width="14.5703125" style="1" customWidth="1"/>
    <col min="10" max="10" width="15.28515625" customWidth="1"/>
    <col min="11" max="11" width="42.85546875" customWidth="1"/>
    <col min="12" max="12" width="52.5703125" customWidth="1"/>
  </cols>
  <sheetData>
    <row r="1" spans="1:13" x14ac:dyDescent="0.25">
      <c r="A1" t="s">
        <v>0</v>
      </c>
      <c r="B1" t="s">
        <v>1</v>
      </c>
      <c r="I1"/>
    </row>
    <row r="2" spans="1:13" x14ac:dyDescent="0.25">
      <c r="A2" t="s">
        <v>36</v>
      </c>
      <c r="B2" t="s">
        <v>37</v>
      </c>
      <c r="I2"/>
    </row>
    <row r="3" spans="1:13" x14ac:dyDescent="0.25">
      <c r="A3" t="s">
        <v>38</v>
      </c>
      <c r="B3" t="s">
        <v>39</v>
      </c>
      <c r="I3"/>
    </row>
    <row r="4" spans="1:13" x14ac:dyDescent="0.25">
      <c r="A4" t="s">
        <v>40</v>
      </c>
      <c r="B4" t="s">
        <v>41</v>
      </c>
      <c r="I4"/>
    </row>
    <row r="5" spans="1:13" x14ac:dyDescent="0.25">
      <c r="A5" t="s">
        <v>8</v>
      </c>
      <c r="B5" t="s">
        <v>9</v>
      </c>
      <c r="I5"/>
    </row>
    <row r="6" spans="1:13" x14ac:dyDescent="0.25">
      <c r="A6" t="s">
        <v>12</v>
      </c>
      <c r="I6"/>
    </row>
    <row r="7" spans="1:13" x14ac:dyDescent="0.25">
      <c r="A7" t="s">
        <v>42</v>
      </c>
      <c r="B7" t="s">
        <v>43</v>
      </c>
      <c r="I7"/>
    </row>
    <row r="8" spans="1:13" x14ac:dyDescent="0.25">
      <c r="A8" t="s">
        <v>13</v>
      </c>
      <c r="I8"/>
    </row>
    <row r="9" spans="1:13" x14ac:dyDescent="0.25">
      <c r="I9"/>
    </row>
    <row r="10" spans="1:13" x14ac:dyDescent="0.25">
      <c r="A10" t="s">
        <v>44</v>
      </c>
      <c r="B10" t="s">
        <v>14</v>
      </c>
      <c r="C10" t="s">
        <v>15</v>
      </c>
      <c r="D10" t="s">
        <v>16</v>
      </c>
      <c r="E10" t="s">
        <v>17</v>
      </c>
      <c r="F10" t="s">
        <v>18</v>
      </c>
      <c r="G10" t="s">
        <v>45</v>
      </c>
      <c r="H10" t="s">
        <v>46</v>
      </c>
      <c r="I10" t="s">
        <v>20</v>
      </c>
      <c r="J10" t="s">
        <v>21</v>
      </c>
      <c r="K10" t="s">
        <v>22</v>
      </c>
      <c r="L10" t="s">
        <v>24</v>
      </c>
      <c r="M10" t="s">
        <v>25</v>
      </c>
    </row>
    <row r="11" spans="1:13" x14ac:dyDescent="0.25">
      <c r="I11"/>
    </row>
    <row r="12" spans="1:13" x14ac:dyDescent="0.25">
      <c r="A12" t="str">
        <f>"18"</f>
        <v>18</v>
      </c>
      <c r="B12" t="str">
        <f>"10"</f>
        <v>10</v>
      </c>
      <c r="C12" t="str">
        <f>"066"</f>
        <v>066</v>
      </c>
      <c r="D12" t="str">
        <f>"3005118"</f>
        <v>3005118</v>
      </c>
      <c r="E12" t="str">
        <f>"02"</f>
        <v>02</v>
      </c>
      <c r="F12" t="str">
        <f>"631200"</f>
        <v>631200</v>
      </c>
      <c r="G12" t="str">
        <f>"00000"</f>
        <v>00000</v>
      </c>
      <c r="H12" t="str">
        <f>"08/29/17"</f>
        <v>08/29/17</v>
      </c>
      <c r="I12" t="str">
        <f>"RIAG 180-11"</f>
        <v>RIAG 180-11</v>
      </c>
      <c r="J12" s="6">
        <v>12253.08</v>
      </c>
      <c r="K12" t="str">
        <f>"WILLIAM E MARCHETTI JR"</f>
        <v>WILLIAM E MARCHETTI JR</v>
      </c>
      <c r="L12" t="str">
        <f>"OWNER'S REPRESENTATIVE SERVICES FOR 180 SOUTH MAIN STREET"</f>
        <v>OWNER'S REPRESENTATIVE SERVICES FOR 180 SOUTH MAIN STREET</v>
      </c>
      <c r="M12" t="str">
        <f>"SVALLANT"</f>
        <v>SVALLANT</v>
      </c>
    </row>
    <row r="13" spans="1:13" x14ac:dyDescent="0.25">
      <c r="I13"/>
      <c r="J13" s="4"/>
    </row>
    <row r="14" spans="1:13" x14ac:dyDescent="0.25">
      <c r="A14" t="str">
        <f>"18"</f>
        <v>18</v>
      </c>
      <c r="B14" t="str">
        <f>"10"</f>
        <v>10</v>
      </c>
      <c r="C14" t="str">
        <f>"066"</f>
        <v>066</v>
      </c>
      <c r="D14" t="str">
        <f>"3005118"</f>
        <v>3005118</v>
      </c>
      <c r="E14" t="str">
        <f>"02"</f>
        <v>02</v>
      </c>
      <c r="F14" t="str">
        <f>"632150"</f>
        <v>632150</v>
      </c>
      <c r="G14" t="str">
        <f>"00000"</f>
        <v>00000</v>
      </c>
      <c r="H14" t="str">
        <f>"09/12/17"</f>
        <v>09/12/17</v>
      </c>
      <c r="I14" t="str">
        <f>"0085615-IN"</f>
        <v>0085615-IN</v>
      </c>
      <c r="J14" s="4">
        <v>190</v>
      </c>
      <c r="K14" t="str">
        <f>"ATRION NETWORKING CORPORATION"</f>
        <v>ATRION NETWORKING CORPORATION</v>
      </c>
      <c r="L14" t="str">
        <f>"SERVICES FOR PUBLIC FOLDER MIGRATION"</f>
        <v>SERVICES FOR PUBLIC FOLDER MIGRATION</v>
      </c>
      <c r="M14" t="str">
        <f>"SVALLANT"</f>
        <v>SVALLANT</v>
      </c>
    </row>
    <row r="15" spans="1:13" x14ac:dyDescent="0.25">
      <c r="A15" t="str">
        <f>"18"</f>
        <v>18</v>
      </c>
      <c r="B15" t="str">
        <f>"10"</f>
        <v>10</v>
      </c>
      <c r="C15" t="str">
        <f>"066"</f>
        <v>066</v>
      </c>
      <c r="D15" t="str">
        <f>"3005118"</f>
        <v>3005118</v>
      </c>
      <c r="E15" t="str">
        <f>"02"</f>
        <v>02</v>
      </c>
      <c r="F15" t="str">
        <f>"632150"</f>
        <v>632150</v>
      </c>
      <c r="G15" t="str">
        <f>"00000"</f>
        <v>00000</v>
      </c>
      <c r="H15" t="str">
        <f>"09/12/17"</f>
        <v>09/12/17</v>
      </c>
      <c r="I15" t="str">
        <f>"0086134-IN"</f>
        <v>0086134-IN</v>
      </c>
      <c r="J15" s="4">
        <v>2875</v>
      </c>
      <c r="K15" t="str">
        <f>"ATRION NETWORKING CORPORATION"</f>
        <v>ATRION NETWORKING CORPORATION</v>
      </c>
      <c r="L15" t="str">
        <f>"KENT - EDGE SWITCH PROJECT - ATRION PROJECT MANAGED PROFESSIONAL SERVICES"</f>
        <v>KENT - EDGE SWITCH PROJECT - ATRION PROJECT MANAGED PROFESSIONAL SERVICES</v>
      </c>
      <c r="M15" t="str">
        <f>"SVALLANT"</f>
        <v>SVALLANT</v>
      </c>
    </row>
    <row r="16" spans="1:13" x14ac:dyDescent="0.25">
      <c r="A16" t="str">
        <f>"18"</f>
        <v>18</v>
      </c>
      <c r="B16" t="str">
        <f>"10"</f>
        <v>10</v>
      </c>
      <c r="C16" t="str">
        <f>"066"</f>
        <v>066</v>
      </c>
      <c r="D16" t="str">
        <f>"3005118"</f>
        <v>3005118</v>
      </c>
      <c r="E16" t="str">
        <f>"02"</f>
        <v>02</v>
      </c>
      <c r="F16" t="str">
        <f>"632150"</f>
        <v>632150</v>
      </c>
      <c r="G16" t="str">
        <f>"00000"</f>
        <v>00000</v>
      </c>
      <c r="H16" t="str">
        <f>"09/15/17"</f>
        <v>09/15/17</v>
      </c>
      <c r="I16" t="str">
        <f>"0087157-IN"</f>
        <v>0087157-IN</v>
      </c>
      <c r="J16" s="4">
        <v>4700</v>
      </c>
      <c r="K16" t="str">
        <f>"ATRION NETWORKING CORPORATION"</f>
        <v>ATRION NETWORKING CORPORATION</v>
      </c>
      <c r="L16" t="str">
        <f>"ATRION PROJECT MANAGED PROFESSIONAL SERVICES FOR REMOTE ACCESS VPN SOLUTIONS PROJECT"</f>
        <v>ATRION PROJECT MANAGED PROFESSIONAL SERVICES FOR REMOTE ACCESS VPN SOLUTIONS PROJECT</v>
      </c>
      <c r="M16" t="str">
        <f>"SVALLANT"</f>
        <v>SVALLANT</v>
      </c>
    </row>
    <row r="17" spans="1:13" x14ac:dyDescent="0.25">
      <c r="A17" t="str">
        <f>"18"</f>
        <v>18</v>
      </c>
      <c r="B17" t="str">
        <f>"10"</f>
        <v>10</v>
      </c>
      <c r="C17" t="str">
        <f>"066"</f>
        <v>066</v>
      </c>
      <c r="D17" t="str">
        <f>"3005118"</f>
        <v>3005118</v>
      </c>
      <c r="E17" t="str">
        <f>"02"</f>
        <v>02</v>
      </c>
      <c r="F17" t="str">
        <f>"632150"</f>
        <v>632150</v>
      </c>
      <c r="G17" t="str">
        <f>"00000"</f>
        <v>00000</v>
      </c>
      <c r="H17" t="str">
        <f>"09/15/17"</f>
        <v>09/15/17</v>
      </c>
      <c r="I17" t="str">
        <f>"0087158-IN"</f>
        <v>0087158-IN</v>
      </c>
      <c r="J17" s="4">
        <v>1640</v>
      </c>
      <c r="K17" t="str">
        <f>"ATRION NETWORKING CORPORATION"</f>
        <v>ATRION NETWORKING CORPORATION</v>
      </c>
      <c r="L17" t="str">
        <f>"PROFESSIONAL SERVICES"</f>
        <v>PROFESSIONAL SERVICES</v>
      </c>
      <c r="M17" t="str">
        <f>"SVALLANT"</f>
        <v>SVALLANT</v>
      </c>
    </row>
    <row r="18" spans="1:13" x14ac:dyDescent="0.25">
      <c r="I18"/>
      <c r="J18" s="6">
        <f>SUM(J14:J17)</f>
        <v>9405</v>
      </c>
    </row>
    <row r="19" spans="1:13" x14ac:dyDescent="0.25">
      <c r="I19"/>
      <c r="J19" s="4"/>
    </row>
    <row r="20" spans="1:13" x14ac:dyDescent="0.25">
      <c r="A20" t="str">
        <f t="shared" ref="A20:A25" si="0">"18"</f>
        <v>18</v>
      </c>
      <c r="B20" t="str">
        <f t="shared" ref="B20:B25" si="1">"10"</f>
        <v>10</v>
      </c>
      <c r="C20" t="str">
        <f t="shared" ref="C20:C25" si="2">"066"</f>
        <v>066</v>
      </c>
      <c r="D20" t="str">
        <f t="shared" ref="D20:D25" si="3">"3005118"</f>
        <v>3005118</v>
      </c>
      <c r="E20" t="str">
        <f t="shared" ref="E20:E25" si="4">"02"</f>
        <v>02</v>
      </c>
      <c r="F20" t="str">
        <f t="shared" ref="F20:F25" si="5">"632150"</f>
        <v>632150</v>
      </c>
      <c r="G20" t="str">
        <f t="shared" ref="G20:G25" si="6">"00000"</f>
        <v>00000</v>
      </c>
      <c r="H20" t="str">
        <f>"08/31/17"</f>
        <v>08/31/17</v>
      </c>
      <c r="I20" t="str">
        <f>"11140234"</f>
        <v>11140234</v>
      </c>
      <c r="J20" s="4">
        <v>12320</v>
      </c>
      <c r="K20" t="str">
        <f t="shared" ref="K20:K25" si="7">"EDWARD N CABRAL"</f>
        <v>EDWARD N CABRAL</v>
      </c>
      <c r="L20" t="str">
        <f t="shared" ref="L20:L25" si="8">"APA-15950  FY16-FY19  IT PROJECT MANAGER"</f>
        <v>APA-15950  FY16-FY19  IT PROJECT MANAGER</v>
      </c>
      <c r="M20" t="str">
        <f t="shared" ref="M20:M25" si="9">"SVALLANT"</f>
        <v>SVALLANT</v>
      </c>
    </row>
    <row r="21" spans="1:13" x14ac:dyDescent="0.25">
      <c r="A21" t="str">
        <f t="shared" si="0"/>
        <v>18</v>
      </c>
      <c r="B21" t="str">
        <f t="shared" si="1"/>
        <v>10</v>
      </c>
      <c r="C21" t="str">
        <f t="shared" si="2"/>
        <v>066</v>
      </c>
      <c r="D21" t="str">
        <f t="shared" si="3"/>
        <v>3005118</v>
      </c>
      <c r="E21" t="str">
        <f t="shared" si="4"/>
        <v>02</v>
      </c>
      <c r="F21" t="str">
        <f t="shared" si="5"/>
        <v>632150</v>
      </c>
      <c r="G21" t="str">
        <f t="shared" si="6"/>
        <v>00000</v>
      </c>
      <c r="H21" t="str">
        <f>"09/26/17"</f>
        <v>09/26/17</v>
      </c>
      <c r="I21" t="str">
        <f>"11140235"</f>
        <v>11140235</v>
      </c>
      <c r="J21" s="4">
        <v>15050</v>
      </c>
      <c r="K21" t="str">
        <f t="shared" si="7"/>
        <v>EDWARD N CABRAL</v>
      </c>
      <c r="L21" t="str">
        <f t="shared" si="8"/>
        <v>APA-15950  FY16-FY19  IT PROJECT MANAGER</v>
      </c>
      <c r="M21" t="str">
        <f t="shared" si="9"/>
        <v>SVALLANT</v>
      </c>
    </row>
    <row r="22" spans="1:13" x14ac:dyDescent="0.25">
      <c r="A22" t="str">
        <f t="shared" si="0"/>
        <v>18</v>
      </c>
      <c r="B22" t="str">
        <f t="shared" si="1"/>
        <v>10</v>
      </c>
      <c r="C22" t="str">
        <f t="shared" si="2"/>
        <v>066</v>
      </c>
      <c r="D22" t="str">
        <f t="shared" si="3"/>
        <v>3005118</v>
      </c>
      <c r="E22" t="str">
        <f t="shared" si="4"/>
        <v>02</v>
      </c>
      <c r="F22" t="str">
        <f t="shared" si="5"/>
        <v>632150</v>
      </c>
      <c r="G22" t="str">
        <f t="shared" si="6"/>
        <v>00000</v>
      </c>
      <c r="H22" t="str">
        <f>"10/13/17"</f>
        <v>10/13/17</v>
      </c>
      <c r="I22" t="str">
        <f>"11140236"</f>
        <v>11140236</v>
      </c>
      <c r="J22" s="4">
        <v>19180</v>
      </c>
      <c r="K22" t="str">
        <f t="shared" si="7"/>
        <v>EDWARD N CABRAL</v>
      </c>
      <c r="L22" t="str">
        <f t="shared" si="8"/>
        <v>APA-15950  FY16-FY19  IT PROJECT MANAGER</v>
      </c>
      <c r="M22" t="str">
        <f t="shared" si="9"/>
        <v>SVALLANT</v>
      </c>
    </row>
    <row r="23" spans="1:13" x14ac:dyDescent="0.25">
      <c r="A23" t="str">
        <f t="shared" si="0"/>
        <v>18</v>
      </c>
      <c r="B23" t="str">
        <f t="shared" si="1"/>
        <v>10</v>
      </c>
      <c r="C23" t="str">
        <f t="shared" si="2"/>
        <v>066</v>
      </c>
      <c r="D23" t="str">
        <f t="shared" si="3"/>
        <v>3005118</v>
      </c>
      <c r="E23" t="str">
        <f t="shared" si="4"/>
        <v>02</v>
      </c>
      <c r="F23" t="str">
        <f t="shared" si="5"/>
        <v>632150</v>
      </c>
      <c r="G23" t="str">
        <f t="shared" si="6"/>
        <v>00000</v>
      </c>
      <c r="H23" t="str">
        <f>"11/10/17"</f>
        <v>11/10/17</v>
      </c>
      <c r="I23" t="str">
        <f>"11140237"</f>
        <v>11140237</v>
      </c>
      <c r="J23" s="4">
        <v>16380</v>
      </c>
      <c r="K23" t="str">
        <f t="shared" si="7"/>
        <v>EDWARD N CABRAL</v>
      </c>
      <c r="L23" t="str">
        <f t="shared" si="8"/>
        <v>APA-15950  FY16-FY19  IT PROJECT MANAGER</v>
      </c>
      <c r="M23" t="str">
        <f t="shared" si="9"/>
        <v>SVALLANT</v>
      </c>
    </row>
    <row r="24" spans="1:13" x14ac:dyDescent="0.25">
      <c r="A24" t="str">
        <f t="shared" si="0"/>
        <v>18</v>
      </c>
      <c r="B24" t="str">
        <f t="shared" si="1"/>
        <v>10</v>
      </c>
      <c r="C24" t="str">
        <f t="shared" si="2"/>
        <v>066</v>
      </c>
      <c r="D24" t="str">
        <f t="shared" si="3"/>
        <v>3005118</v>
      </c>
      <c r="E24" t="str">
        <f t="shared" si="4"/>
        <v>02</v>
      </c>
      <c r="F24" t="str">
        <f t="shared" si="5"/>
        <v>632150</v>
      </c>
      <c r="G24" t="str">
        <f t="shared" si="6"/>
        <v>00000</v>
      </c>
      <c r="H24" t="str">
        <f>"12/15/17"</f>
        <v>12/15/17</v>
      </c>
      <c r="I24" t="str">
        <f>"11140238"</f>
        <v>11140238</v>
      </c>
      <c r="J24" s="4">
        <v>15540</v>
      </c>
      <c r="K24" t="str">
        <f t="shared" si="7"/>
        <v>EDWARD N CABRAL</v>
      </c>
      <c r="L24" t="str">
        <f t="shared" si="8"/>
        <v>APA-15950  FY16-FY19  IT PROJECT MANAGER</v>
      </c>
      <c r="M24" t="str">
        <f t="shared" si="9"/>
        <v>SVALLANT</v>
      </c>
    </row>
    <row r="25" spans="1:13" x14ac:dyDescent="0.25">
      <c r="A25" t="str">
        <f t="shared" si="0"/>
        <v>18</v>
      </c>
      <c r="B25" t="str">
        <f t="shared" si="1"/>
        <v>10</v>
      </c>
      <c r="C25" t="str">
        <f t="shared" si="2"/>
        <v>066</v>
      </c>
      <c r="D25" t="str">
        <f t="shared" si="3"/>
        <v>3005118</v>
      </c>
      <c r="E25" t="str">
        <f t="shared" si="4"/>
        <v>02</v>
      </c>
      <c r="F25" t="str">
        <f t="shared" si="5"/>
        <v>632150</v>
      </c>
      <c r="G25" t="str">
        <f t="shared" si="6"/>
        <v>00000</v>
      </c>
      <c r="H25" t="str">
        <f>"01/30/18"</f>
        <v>01/30/18</v>
      </c>
      <c r="I25" t="str">
        <f>"11140239"</f>
        <v>11140239</v>
      </c>
      <c r="J25" s="4">
        <v>14140</v>
      </c>
      <c r="K25" t="str">
        <f t="shared" si="7"/>
        <v>EDWARD N CABRAL</v>
      </c>
      <c r="L25" t="str">
        <f t="shared" si="8"/>
        <v>APA-15950  FY16-FY19  IT PROJECT MANAGER</v>
      </c>
      <c r="M25" t="str">
        <f t="shared" si="9"/>
        <v>SVALLANT</v>
      </c>
    </row>
    <row r="26" spans="1:13" x14ac:dyDescent="0.25">
      <c r="I26"/>
      <c r="J26" s="6">
        <f>SUM(J20:J25)</f>
        <v>92610</v>
      </c>
    </row>
    <row r="27" spans="1:13" x14ac:dyDescent="0.25">
      <c r="I27"/>
      <c r="J27" s="4"/>
    </row>
    <row r="28" spans="1:13" x14ac:dyDescent="0.25">
      <c r="A28" t="str">
        <f t="shared" ref="A28:A33" si="10">"18"</f>
        <v>18</v>
      </c>
      <c r="B28" t="str">
        <f t="shared" ref="B28:B33" si="11">"10"</f>
        <v>10</v>
      </c>
      <c r="C28" t="str">
        <f t="shared" ref="C28:C33" si="12">"066"</f>
        <v>066</v>
      </c>
      <c r="D28" t="str">
        <f t="shared" ref="D28:D33" si="13">"3005118"</f>
        <v>3005118</v>
      </c>
      <c r="E28" t="str">
        <f t="shared" ref="E28:E33" si="14">"02"</f>
        <v>02</v>
      </c>
      <c r="F28" t="str">
        <f t="shared" ref="F28:F33" si="15">"632150"</f>
        <v>632150</v>
      </c>
      <c r="G28" t="str">
        <f t="shared" ref="G28:G33" si="16">"00000"</f>
        <v>00000</v>
      </c>
      <c r="H28" t="str">
        <f>"09/26/17"</f>
        <v>09/26/17</v>
      </c>
      <c r="I28" t="str">
        <f>"13022"</f>
        <v>13022</v>
      </c>
      <c r="J28" s="4">
        <v>6066.25</v>
      </c>
      <c r="K28" t="str">
        <f t="shared" ref="K28:K33" si="17">"KYRAN RESEARCH ASSOCIATES INC"</f>
        <v>KYRAN RESEARCH ASSOCIATES INC</v>
      </c>
      <c r="L28" t="str">
        <f t="shared" ref="L28:L33" si="18">"APA-15199 8/1/17-12/31/22 - 5-YEAR MAINTENANCE - $299,000.00"</f>
        <v>APA-15199 8/1/17-12/31/22 - 5-YEAR MAINTENANCE - $299,000.00</v>
      </c>
      <c r="M28" t="str">
        <f t="shared" ref="M28:M33" si="19">"BOBW@KYR"</f>
        <v>BOBW@KYR</v>
      </c>
    </row>
    <row r="29" spans="1:13" x14ac:dyDescent="0.25">
      <c r="A29" t="str">
        <f t="shared" si="10"/>
        <v>18</v>
      </c>
      <c r="B29" t="str">
        <f t="shared" si="11"/>
        <v>10</v>
      </c>
      <c r="C29" t="str">
        <f t="shared" si="12"/>
        <v>066</v>
      </c>
      <c r="D29" t="str">
        <f t="shared" si="13"/>
        <v>3005118</v>
      </c>
      <c r="E29" t="str">
        <f t="shared" si="14"/>
        <v>02</v>
      </c>
      <c r="F29" t="str">
        <f t="shared" si="15"/>
        <v>632150</v>
      </c>
      <c r="G29" t="str">
        <f t="shared" si="16"/>
        <v>00000</v>
      </c>
      <c r="H29" t="str">
        <f>"10/03/17"</f>
        <v>10/03/17</v>
      </c>
      <c r="I29" t="str">
        <f>"13031"</f>
        <v>13031</v>
      </c>
      <c r="J29" s="4">
        <v>6612.5</v>
      </c>
      <c r="K29" t="str">
        <f t="shared" si="17"/>
        <v>KYRAN RESEARCH ASSOCIATES INC</v>
      </c>
      <c r="L29" t="str">
        <f t="shared" si="18"/>
        <v>APA-15199 8/1/17-12/31/22 - 5-YEAR MAINTENANCE - $299,000.00</v>
      </c>
      <c r="M29" t="str">
        <f t="shared" si="19"/>
        <v>BOBW@KYR</v>
      </c>
    </row>
    <row r="30" spans="1:13" x14ac:dyDescent="0.25">
      <c r="A30" t="str">
        <f t="shared" si="10"/>
        <v>18</v>
      </c>
      <c r="B30" t="str">
        <f t="shared" si="11"/>
        <v>10</v>
      </c>
      <c r="C30" t="str">
        <f t="shared" si="12"/>
        <v>066</v>
      </c>
      <c r="D30" t="str">
        <f t="shared" si="13"/>
        <v>3005118</v>
      </c>
      <c r="E30" t="str">
        <f t="shared" si="14"/>
        <v>02</v>
      </c>
      <c r="F30" t="str">
        <f t="shared" si="15"/>
        <v>632150</v>
      </c>
      <c r="G30" t="str">
        <f t="shared" si="16"/>
        <v>00000</v>
      </c>
      <c r="H30" t="str">
        <f>"11/10/17"</f>
        <v>11/10/17</v>
      </c>
      <c r="I30" t="str">
        <f>"13043"</f>
        <v>13043</v>
      </c>
      <c r="J30" s="4">
        <v>6813.75</v>
      </c>
      <c r="K30" t="str">
        <f t="shared" si="17"/>
        <v>KYRAN RESEARCH ASSOCIATES INC</v>
      </c>
      <c r="L30" t="str">
        <f t="shared" si="18"/>
        <v>APA-15199 8/1/17-12/31/22 - 5-YEAR MAINTENANCE - $299,000.00</v>
      </c>
      <c r="M30" t="str">
        <f t="shared" si="19"/>
        <v>BOBW@KYR</v>
      </c>
    </row>
    <row r="31" spans="1:13" x14ac:dyDescent="0.25">
      <c r="A31" t="str">
        <f t="shared" si="10"/>
        <v>18</v>
      </c>
      <c r="B31" t="str">
        <f t="shared" si="11"/>
        <v>10</v>
      </c>
      <c r="C31" t="str">
        <f t="shared" si="12"/>
        <v>066</v>
      </c>
      <c r="D31" t="str">
        <f t="shared" si="13"/>
        <v>3005118</v>
      </c>
      <c r="E31" t="str">
        <f t="shared" si="14"/>
        <v>02</v>
      </c>
      <c r="F31" t="str">
        <f t="shared" si="15"/>
        <v>632150</v>
      </c>
      <c r="G31" t="str">
        <f t="shared" si="16"/>
        <v>00000</v>
      </c>
      <c r="H31" t="str">
        <f>"11/29/17"</f>
        <v>11/29/17</v>
      </c>
      <c r="I31" t="str">
        <f>"13052"</f>
        <v>13052</v>
      </c>
      <c r="J31" s="4">
        <v>3593.75</v>
      </c>
      <c r="K31" t="str">
        <f t="shared" si="17"/>
        <v>KYRAN RESEARCH ASSOCIATES INC</v>
      </c>
      <c r="L31" t="str">
        <f t="shared" si="18"/>
        <v>APA-15199 8/1/17-12/31/22 - 5-YEAR MAINTENANCE - $299,000.00</v>
      </c>
      <c r="M31" t="str">
        <f t="shared" si="19"/>
        <v>BOBW@KYR</v>
      </c>
    </row>
    <row r="32" spans="1:13" x14ac:dyDescent="0.25">
      <c r="A32" t="str">
        <f t="shared" si="10"/>
        <v>18</v>
      </c>
      <c r="B32" t="str">
        <f t="shared" si="11"/>
        <v>10</v>
      </c>
      <c r="C32" t="str">
        <f t="shared" si="12"/>
        <v>066</v>
      </c>
      <c r="D32" t="str">
        <f t="shared" si="13"/>
        <v>3005118</v>
      </c>
      <c r="E32" t="str">
        <f t="shared" si="14"/>
        <v>02</v>
      </c>
      <c r="F32" t="str">
        <f t="shared" si="15"/>
        <v>632150</v>
      </c>
      <c r="G32" t="str">
        <f t="shared" si="16"/>
        <v>00000</v>
      </c>
      <c r="H32" t="str">
        <f>"01/19/18"</f>
        <v>01/19/18</v>
      </c>
      <c r="I32" t="str">
        <f>"13061A"</f>
        <v>13061A</v>
      </c>
      <c r="J32" s="4">
        <v>690</v>
      </c>
      <c r="K32" t="str">
        <f t="shared" si="17"/>
        <v>KYRAN RESEARCH ASSOCIATES INC</v>
      </c>
      <c r="L32" t="str">
        <f t="shared" si="18"/>
        <v>APA-15199 8/1/17-12/31/22 - 5-YEAR MAINTENANCE - $299,000.00</v>
      </c>
      <c r="M32" t="str">
        <f t="shared" si="19"/>
        <v>BOBW@KYR</v>
      </c>
    </row>
    <row r="33" spans="1:13" x14ac:dyDescent="0.25">
      <c r="A33" t="str">
        <f t="shared" si="10"/>
        <v>18</v>
      </c>
      <c r="B33" t="str">
        <f t="shared" si="11"/>
        <v>10</v>
      </c>
      <c r="C33" t="str">
        <f t="shared" si="12"/>
        <v>066</v>
      </c>
      <c r="D33" t="str">
        <f t="shared" si="13"/>
        <v>3005118</v>
      </c>
      <c r="E33" t="str">
        <f t="shared" si="14"/>
        <v>02</v>
      </c>
      <c r="F33" t="str">
        <f t="shared" si="15"/>
        <v>632150</v>
      </c>
      <c r="G33" t="str">
        <f t="shared" si="16"/>
        <v>00000</v>
      </c>
      <c r="H33" t="str">
        <f>"01/26/18"</f>
        <v>01/26/18</v>
      </c>
      <c r="I33" t="str">
        <f>"13076"</f>
        <v>13076</v>
      </c>
      <c r="J33" s="4">
        <v>172.5</v>
      </c>
      <c r="K33" t="str">
        <f t="shared" si="17"/>
        <v>KYRAN RESEARCH ASSOCIATES INC</v>
      </c>
      <c r="L33" t="str">
        <f t="shared" si="18"/>
        <v>APA-15199 8/1/17-12/31/22 - 5-YEAR MAINTENANCE - $299,000.00</v>
      </c>
      <c r="M33" t="str">
        <f t="shared" si="19"/>
        <v>BOBW@KYR</v>
      </c>
    </row>
    <row r="34" spans="1:13" x14ac:dyDescent="0.25">
      <c r="I34"/>
      <c r="J34" s="6">
        <f>SUM(J28:J33)</f>
        <v>23948.75</v>
      </c>
    </row>
    <row r="35" spans="1:13" x14ac:dyDescent="0.25">
      <c r="I35"/>
      <c r="J35" s="3"/>
    </row>
    <row r="36" spans="1:13" x14ac:dyDescent="0.25">
      <c r="A36" t="str">
        <f>"18"</f>
        <v>18</v>
      </c>
      <c r="B36" t="str">
        <f>"10"</f>
        <v>10</v>
      </c>
      <c r="C36" t="str">
        <f>"066"</f>
        <v>066</v>
      </c>
      <c r="D36" t="str">
        <f>"3005118"</f>
        <v>3005118</v>
      </c>
      <c r="E36" t="str">
        <f>"02"</f>
        <v>02</v>
      </c>
      <c r="F36" t="str">
        <f>"632150"</f>
        <v>632150</v>
      </c>
      <c r="G36" t="str">
        <f>"00000"</f>
        <v>00000</v>
      </c>
      <c r="H36" t="str">
        <f>"12/22/17"</f>
        <v>12/22/17</v>
      </c>
      <c r="I36" t="str">
        <f>"2017-542"</f>
        <v>2017-542</v>
      </c>
      <c r="J36" s="4">
        <v>22330</v>
      </c>
      <c r="K36" t="str">
        <f>"STONEWALL SOLUTIONS INC"</f>
        <v>STONEWALL SOLUTIONS INC</v>
      </c>
      <c r="L36" t="str">
        <f>"APA-17182  FY17-18  RIAG CRIMINAL CASE MANAGEMENT SYSTEM ENHANCEMENTS - NTE $308,880.00"</f>
        <v>APA-17182  FY17-18  RIAG CRIMINAL CASE MANAGEMENT SYSTEM ENHANCEMENTS - NTE $308,880.00</v>
      </c>
      <c r="M36" t="str">
        <f>"JCONDON@"</f>
        <v>JCONDON@</v>
      </c>
    </row>
    <row r="37" spans="1:13" x14ac:dyDescent="0.25">
      <c r="A37" t="str">
        <f>"18"</f>
        <v>18</v>
      </c>
      <c r="B37" t="str">
        <f>"10"</f>
        <v>10</v>
      </c>
      <c r="C37" t="str">
        <f>"066"</f>
        <v>066</v>
      </c>
      <c r="D37" t="str">
        <f>"3005118"</f>
        <v>3005118</v>
      </c>
      <c r="E37" t="str">
        <f>"02"</f>
        <v>02</v>
      </c>
      <c r="F37" t="str">
        <f>"632150"</f>
        <v>632150</v>
      </c>
      <c r="G37" t="str">
        <f>"00000"</f>
        <v>00000</v>
      </c>
      <c r="H37" t="str">
        <f>"12/22/17"</f>
        <v>12/22/17</v>
      </c>
      <c r="I37" t="str">
        <f>"2017-543"</f>
        <v>2017-543</v>
      </c>
      <c r="J37" s="4">
        <v>13640</v>
      </c>
      <c r="K37" t="str">
        <f>"STONEWALL SOLUTIONS INC"</f>
        <v>STONEWALL SOLUTIONS INC</v>
      </c>
      <c r="L37" t="str">
        <f>"APA-17182  FY17-18  RIAG CRIMINAL CASE MANAGEMENT SYSTEM ENHANCEMENTS - NTE $308,880.00"</f>
        <v>APA-17182  FY17-18  RIAG CRIMINAL CASE MANAGEMENT SYSTEM ENHANCEMENTS - NTE $308,880.00</v>
      </c>
      <c r="M37" t="str">
        <f>"JCONDON@"</f>
        <v>JCONDON@</v>
      </c>
    </row>
    <row r="38" spans="1:13" x14ac:dyDescent="0.25">
      <c r="A38" t="str">
        <f>"18"</f>
        <v>18</v>
      </c>
      <c r="B38" t="str">
        <f>"10"</f>
        <v>10</v>
      </c>
      <c r="C38" t="str">
        <f>"066"</f>
        <v>066</v>
      </c>
      <c r="D38" t="str">
        <f>"3005118"</f>
        <v>3005118</v>
      </c>
      <c r="E38" t="str">
        <f>"02"</f>
        <v>02</v>
      </c>
      <c r="F38" t="str">
        <f>"632150"</f>
        <v>632150</v>
      </c>
      <c r="G38" t="str">
        <f>"00000"</f>
        <v>00000</v>
      </c>
      <c r="H38" t="str">
        <f>"12/22/17"</f>
        <v>12/22/17</v>
      </c>
      <c r="I38" t="str">
        <f>"2017-544"</f>
        <v>2017-544</v>
      </c>
      <c r="J38" s="4">
        <v>14190</v>
      </c>
      <c r="K38" t="str">
        <f>"STONEWALL SOLUTIONS INC"</f>
        <v>STONEWALL SOLUTIONS INC</v>
      </c>
      <c r="L38" t="str">
        <f>"APA-17182  FY17-18  RIAG CRIMINAL CASE MANAGEMENT SYSTEM ENHANCEMENTS - NTE $308,880.00"</f>
        <v>APA-17182  FY17-18  RIAG CRIMINAL CASE MANAGEMENT SYSTEM ENHANCEMENTS - NTE $308,880.00</v>
      </c>
      <c r="M38" t="str">
        <f>"JCONDON@"</f>
        <v>JCONDON@</v>
      </c>
    </row>
    <row r="39" spans="1:13" x14ac:dyDescent="0.25">
      <c r="I39"/>
      <c r="J39" s="5">
        <f>SUM(J36:J38)</f>
        <v>50160</v>
      </c>
    </row>
    <row r="40" spans="1:13" x14ac:dyDescent="0.25">
      <c r="I40"/>
      <c r="J40" s="4"/>
    </row>
    <row r="41" spans="1:13" x14ac:dyDescent="0.25">
      <c r="A41" t="str">
        <f>"18"</f>
        <v>18</v>
      </c>
      <c r="B41" t="str">
        <f>"10"</f>
        <v>10</v>
      </c>
      <c r="C41" t="str">
        <f>"066"</f>
        <v>066</v>
      </c>
      <c r="D41" t="str">
        <f>"3005118"</f>
        <v>3005118</v>
      </c>
      <c r="E41" t="str">
        <f>"02"</f>
        <v>02</v>
      </c>
      <c r="F41" t="str">
        <f>"632160"</f>
        <v>632160</v>
      </c>
      <c r="G41" t="str">
        <f>"00000"</f>
        <v>00000</v>
      </c>
      <c r="H41" t="str">
        <f>"09/19/17"</f>
        <v>09/19/17</v>
      </c>
      <c r="I41" t="str">
        <f>"0087124-IN"</f>
        <v>0087124-IN</v>
      </c>
      <c r="J41" s="6">
        <v>2875</v>
      </c>
      <c r="K41" t="str">
        <f>"ATRION NETWORKING CORPORATION"</f>
        <v>ATRION NETWORKING CORPORATION</v>
      </c>
      <c r="L41" t="str">
        <f>"Atrion?s Project Managed Professional Services"</f>
        <v>Atrion?s Project Managed Professional Services</v>
      </c>
      <c r="M41" t="str">
        <f>"SVALLANT"</f>
        <v>SVALLANT</v>
      </c>
    </row>
    <row r="42" spans="1:13" x14ac:dyDescent="0.25">
      <c r="I42"/>
      <c r="J42" s="3"/>
    </row>
    <row r="43" spans="1:13" x14ac:dyDescent="0.25">
      <c r="A43" t="str">
        <f>"18"</f>
        <v>18</v>
      </c>
      <c r="B43" t="str">
        <f>"10"</f>
        <v>10</v>
      </c>
      <c r="C43" t="str">
        <f>"066"</f>
        <v>066</v>
      </c>
      <c r="D43" t="str">
        <f>"3005118"</f>
        <v>3005118</v>
      </c>
      <c r="E43" t="str">
        <f>"02"</f>
        <v>02</v>
      </c>
      <c r="F43" t="str">
        <f>"634100"</f>
        <v>634100</v>
      </c>
      <c r="G43" t="str">
        <f>"00000"</f>
        <v>00000</v>
      </c>
      <c r="H43" t="str">
        <f>"01/16/18"</f>
        <v>01/16/18</v>
      </c>
      <c r="I43" t="str">
        <f>"0198362"</f>
        <v>0198362</v>
      </c>
      <c r="J43" s="6">
        <v>1995</v>
      </c>
      <c r="K43" t="str">
        <f>"FUSS &amp; ONEILL INC"</f>
        <v>FUSS &amp; ONEILL INC</v>
      </c>
      <c r="L43" t="str">
        <f>"ELECTRICAL ENGINEERING SERVICES - GENERATOR DISTRIBUTION DESIGN AT 180 SOUTH MAIN STREET"</f>
        <v>ELECTRICAL ENGINEERING SERVICES - GENERATOR DISTRIBUTION DESIGN AT 180 SOUTH MAIN STREET</v>
      </c>
      <c r="M43" t="str">
        <f>"FJOHNSON"</f>
        <v>FJOHNSON</v>
      </c>
    </row>
    <row r="44" spans="1:13" x14ac:dyDescent="0.25">
      <c r="I44"/>
      <c r="J44" s="3"/>
    </row>
    <row r="45" spans="1:13" x14ac:dyDescent="0.25">
      <c r="A45" t="str">
        <f>"18"</f>
        <v>18</v>
      </c>
      <c r="B45" t="str">
        <f>"10"</f>
        <v>10</v>
      </c>
      <c r="C45" t="str">
        <f>"066"</f>
        <v>066</v>
      </c>
      <c r="D45" t="str">
        <f>"3005118"</f>
        <v>3005118</v>
      </c>
      <c r="E45" t="str">
        <f>"02"</f>
        <v>02</v>
      </c>
      <c r="F45" t="str">
        <f>"634200"</f>
        <v>634200</v>
      </c>
      <c r="G45" t="str">
        <f>"AG001"</f>
        <v>AG001</v>
      </c>
      <c r="H45" t="str">
        <f>"09/12/17"</f>
        <v>09/12/17</v>
      </c>
      <c r="I45" t="str">
        <f>"0000001 - PROJECT NO."</f>
        <v>0000001 - PROJECT NO.</v>
      </c>
      <c r="J45" s="4">
        <v>7125</v>
      </c>
      <c r="K45" t="str">
        <f>"BLOUNT BENNETT ARCHITECTS LTD"</f>
        <v>BLOUNT BENNETT ARCHITECTS LTD</v>
      </c>
      <c r="L45" t="str">
        <f>"ARCHITECTURAL SERVICES FOR THE EXTERIOR REPAIR/RESTORATION OF 150 SOUTH MAIN STREET PER AIA-B104 DATED 5/8/17"</f>
        <v>ARCHITECTURAL SERVICES FOR THE EXTERIOR REPAIR/RESTORATION OF 150 SOUTH MAIN STREET PER AIA-B104 DATED 5/8/17</v>
      </c>
      <c r="M45" t="str">
        <f>"SVALLANT"</f>
        <v>SVALLANT</v>
      </c>
    </row>
    <row r="46" spans="1:13" x14ac:dyDescent="0.25">
      <c r="A46" t="str">
        <f>"18"</f>
        <v>18</v>
      </c>
      <c r="B46" t="str">
        <f>"10"</f>
        <v>10</v>
      </c>
      <c r="C46" t="str">
        <f>"066"</f>
        <v>066</v>
      </c>
      <c r="D46" t="str">
        <f>"3005118"</f>
        <v>3005118</v>
      </c>
      <c r="E46" t="str">
        <f>"02"</f>
        <v>02</v>
      </c>
      <c r="F46" t="str">
        <f>"634200"</f>
        <v>634200</v>
      </c>
      <c r="G46" t="str">
        <f>"AG001"</f>
        <v>AG001</v>
      </c>
      <c r="H46" t="str">
        <f>"11/10/17"</f>
        <v>11/10/17</v>
      </c>
      <c r="I46" t="str">
        <f>"0000002 - PROJECT NO."</f>
        <v>0000002 - PROJECT NO.</v>
      </c>
      <c r="J46" s="4">
        <v>-30875</v>
      </c>
      <c r="K46" t="str">
        <f>"BLOUNT BENNETT ARCHITECTS LTD"</f>
        <v>BLOUNT BENNETT ARCHITECTS LTD</v>
      </c>
      <c r="L46" t="str">
        <f>"ARCHITECTURAL SERVICES FOR THE EXTERIOR REPAIR/RESTORATION OF 150 SOUTH MAIN STREET PER AIA-B104 DATED 5/8/17"</f>
        <v>ARCHITECTURAL SERVICES FOR THE EXTERIOR REPAIR/RESTORATION OF 150 SOUTH MAIN STREET PER AIA-B104 DATED 5/8/17</v>
      </c>
      <c r="M46" t="str">
        <f>"SVALLANT"</f>
        <v>SVALLANT</v>
      </c>
    </row>
    <row r="47" spans="1:13" x14ac:dyDescent="0.25">
      <c r="A47" t="str">
        <f>"18"</f>
        <v>18</v>
      </c>
      <c r="B47" t="str">
        <f>"10"</f>
        <v>10</v>
      </c>
      <c r="C47" t="str">
        <f>"066"</f>
        <v>066</v>
      </c>
      <c r="D47" t="str">
        <f>"3005118"</f>
        <v>3005118</v>
      </c>
      <c r="E47" t="str">
        <f>"02"</f>
        <v>02</v>
      </c>
      <c r="F47" t="str">
        <f>"634200"</f>
        <v>634200</v>
      </c>
      <c r="G47" t="str">
        <f>"AG001"</f>
        <v>AG001</v>
      </c>
      <c r="H47" t="str">
        <f>"11/10/17"</f>
        <v>11/10/17</v>
      </c>
      <c r="I47" t="str">
        <f>"0000002 - PROJECT NO."</f>
        <v>0000002 - PROJECT NO.</v>
      </c>
      <c r="J47" s="4">
        <v>17195</v>
      </c>
      <c r="K47" t="str">
        <f>"BLOUNT BENNETT ARCHITECTS LTD"</f>
        <v>BLOUNT BENNETT ARCHITECTS LTD</v>
      </c>
      <c r="L47" t="str">
        <f>"ARCHITECTURAL SERVICES FOR THE EXTERIOR REPAIR/RESTORATION OF 150 SOUTH MAIN STREET PER AIA-B104 DATED 5/8/17"</f>
        <v>ARCHITECTURAL SERVICES FOR THE EXTERIOR REPAIR/RESTORATION OF 150 SOUTH MAIN STREET PER AIA-B104 DATED 5/8/17</v>
      </c>
      <c r="M47" t="str">
        <f>"SVALLANT"</f>
        <v>SVALLANT</v>
      </c>
    </row>
    <row r="48" spans="1:13" x14ac:dyDescent="0.25">
      <c r="A48" t="str">
        <f>"18"</f>
        <v>18</v>
      </c>
      <c r="B48" t="str">
        <f>"10"</f>
        <v>10</v>
      </c>
      <c r="C48" t="str">
        <f>"066"</f>
        <v>066</v>
      </c>
      <c r="D48" t="str">
        <f>"3005118"</f>
        <v>3005118</v>
      </c>
      <c r="E48" t="str">
        <f>"02"</f>
        <v>02</v>
      </c>
      <c r="F48" t="str">
        <f>"634200"</f>
        <v>634200</v>
      </c>
      <c r="G48" t="str">
        <f>"AG001"</f>
        <v>AG001</v>
      </c>
      <c r="H48" t="str">
        <f>"11/10/17"</f>
        <v>11/10/17</v>
      </c>
      <c r="I48" t="str">
        <f>"0000002 - PROJECT NO."</f>
        <v>0000002 - PROJECT NO.</v>
      </c>
      <c r="J48" s="4">
        <v>30875</v>
      </c>
      <c r="K48" t="str">
        <f>"BLOUNT BENNETT ARCHITECTS LTD"</f>
        <v>BLOUNT BENNETT ARCHITECTS LTD</v>
      </c>
      <c r="L48" t="str">
        <f>"ARCHITECTURAL SERVICES FOR THE EXTERIOR REPAIR/RESTORATION OF 150 SOUTH MAIN STREET PER AIA-B104 DATED 5/8/17"</f>
        <v>ARCHITECTURAL SERVICES FOR THE EXTERIOR REPAIR/RESTORATION OF 150 SOUTH MAIN STREET PER AIA-B104 DATED 5/8/17</v>
      </c>
      <c r="M48" t="str">
        <f>"SVALLANT"</f>
        <v>SVALLANT</v>
      </c>
    </row>
    <row r="49" spans="1:13" x14ac:dyDescent="0.25">
      <c r="I49"/>
      <c r="J49" s="6">
        <f>SUM(J45:J48)</f>
        <v>24320</v>
      </c>
    </row>
    <row r="50" spans="1:13" x14ac:dyDescent="0.25">
      <c r="I50"/>
      <c r="J50" s="3"/>
    </row>
    <row r="51" spans="1:13" x14ac:dyDescent="0.25">
      <c r="A51" t="str">
        <f>"18"</f>
        <v>18</v>
      </c>
      <c r="B51" t="str">
        <f>"10"</f>
        <v>10</v>
      </c>
      <c r="C51" t="str">
        <f>"066"</f>
        <v>066</v>
      </c>
      <c r="D51" t="str">
        <f>"3005118"</f>
        <v>3005118</v>
      </c>
      <c r="E51" t="str">
        <f>"02"</f>
        <v>02</v>
      </c>
      <c r="F51" t="str">
        <f>"634200"</f>
        <v>634200</v>
      </c>
      <c r="G51" t="str">
        <f>"AG001"</f>
        <v>AG001</v>
      </c>
      <c r="H51" t="str">
        <f>"09/22/17"</f>
        <v>09/22/17</v>
      </c>
      <c r="I51" t="str">
        <f>"6355-1"</f>
        <v>6355-1</v>
      </c>
      <c r="J51" s="3">
        <v>87702.27</v>
      </c>
      <c r="K51" t="str">
        <f>"ROBINSON GREEN BERETTA CORP, THE"</f>
        <v>ROBINSON GREEN BERETTA CORP, THE</v>
      </c>
      <c r="L51" t="str">
        <f>"A&amp;E SERVICES AT DEPARTMENT OF ATTORNEY GENERAL - 150 SOUTH MAIN ST, PROVIDENCE RI 02903 - IN ACCORDANCE TO PLANS AND SPECIFICATIONS OF PUBLIC SOLICITATION #7551401 AND AIA AGREEMENT 3519578"</f>
        <v>A&amp;E SERVICES AT DEPARTMENT OF ATTORNEY GENERAL - 150 SOUTH MAIN ST, PROVIDENCE RI 02903 - IN ACCORDANCE TO PLANS AND SPECIFICATIONS OF PUBLIC SOLICITATION #7551401 AND AIA AGREEMENT 3519578</v>
      </c>
      <c r="M51" t="str">
        <f>"SVALLANT"</f>
        <v>SVALLANT</v>
      </c>
    </row>
    <row r="52" spans="1:13" x14ac:dyDescent="0.25">
      <c r="A52" t="str">
        <f>"18"</f>
        <v>18</v>
      </c>
      <c r="B52" t="str">
        <f>"10"</f>
        <v>10</v>
      </c>
      <c r="C52" t="str">
        <f>"066"</f>
        <v>066</v>
      </c>
      <c r="D52" t="str">
        <f>"3005118"</f>
        <v>3005118</v>
      </c>
      <c r="E52" t="str">
        <f>"02"</f>
        <v>02</v>
      </c>
      <c r="F52" t="str">
        <f>"634200"</f>
        <v>634200</v>
      </c>
      <c r="G52" t="str">
        <f>"AG001"</f>
        <v>AG001</v>
      </c>
      <c r="H52" t="str">
        <f>"11/07/17"</f>
        <v>11/07/17</v>
      </c>
      <c r="I52" t="str">
        <f>"6355-2"</f>
        <v>6355-2</v>
      </c>
      <c r="J52" s="3">
        <v>78959.48</v>
      </c>
      <c r="K52" t="str">
        <f>"ROBINSON GREEN BERETTA CORP, THE"</f>
        <v>ROBINSON GREEN BERETTA CORP, THE</v>
      </c>
      <c r="L52" t="str">
        <f>"A&amp;E SERVICES AT DEPARTMENT OF ATTORNEY GENERAL - 150 SOUTH MAIN ST, PROVIDENCE RI 02903 - IN ACCORDANCE TO PLANS AND SPECIFICATIONS OF PUBLIC SOLICITATION #7551401 AND AIA AGREEMENT 3519578"</f>
        <v>A&amp;E SERVICES AT DEPARTMENT OF ATTORNEY GENERAL - 150 SOUTH MAIN ST, PROVIDENCE RI 02903 - IN ACCORDANCE TO PLANS AND SPECIFICATIONS OF PUBLIC SOLICITATION #7551401 AND AIA AGREEMENT 3519578</v>
      </c>
      <c r="M52" t="str">
        <f>"SVALLANT"</f>
        <v>SVALLANT</v>
      </c>
    </row>
    <row r="53" spans="1:13" x14ac:dyDescent="0.25">
      <c r="A53" t="str">
        <f>"18"</f>
        <v>18</v>
      </c>
      <c r="B53" t="str">
        <f>"10"</f>
        <v>10</v>
      </c>
      <c r="C53" t="str">
        <f>"066"</f>
        <v>066</v>
      </c>
      <c r="D53" t="str">
        <f>"3005118"</f>
        <v>3005118</v>
      </c>
      <c r="E53" t="str">
        <f>"02"</f>
        <v>02</v>
      </c>
      <c r="F53" t="str">
        <f>"634200"</f>
        <v>634200</v>
      </c>
      <c r="G53" t="str">
        <f>"AG001"</f>
        <v>AG001</v>
      </c>
      <c r="H53" t="str">
        <f>"11/07/17"</f>
        <v>11/07/17</v>
      </c>
      <c r="I53" t="str">
        <f>"6355-3"</f>
        <v>6355-3</v>
      </c>
      <c r="J53" s="3">
        <v>143732.9</v>
      </c>
      <c r="K53" t="str">
        <f>"ROBINSON GREEN BERETTA CORP, THE"</f>
        <v>ROBINSON GREEN BERETTA CORP, THE</v>
      </c>
      <c r="L53" t="str">
        <f>"A&amp;E SERVICES AT DEPARTMENT OF ATTORNEY GENERAL - 150 SOUTH MAIN ST, PROVIDENCE RI 02903 - IN ACCORDANCE TO PLANS AND SPECIFICATIONS OF PUBLIC SOLICITATION #7551401 AND AIA AGREEMENT 3519578"</f>
        <v>A&amp;E SERVICES AT DEPARTMENT OF ATTORNEY GENERAL - 150 SOUTH MAIN ST, PROVIDENCE RI 02903 - IN ACCORDANCE TO PLANS AND SPECIFICATIONS OF PUBLIC SOLICITATION #7551401 AND AIA AGREEMENT 3519578</v>
      </c>
      <c r="M53" t="str">
        <f>"SVALLANT"</f>
        <v>SVALLANT</v>
      </c>
    </row>
    <row r="54" spans="1:13" x14ac:dyDescent="0.25">
      <c r="A54" t="str">
        <f>"18"</f>
        <v>18</v>
      </c>
      <c r="B54" t="str">
        <f>"10"</f>
        <v>10</v>
      </c>
      <c r="C54" t="str">
        <f>"066"</f>
        <v>066</v>
      </c>
      <c r="D54" t="str">
        <f>"3005118"</f>
        <v>3005118</v>
      </c>
      <c r="E54" t="str">
        <f>"02"</f>
        <v>02</v>
      </c>
      <c r="F54" t="str">
        <f>"634200"</f>
        <v>634200</v>
      </c>
      <c r="G54" t="str">
        <f>"AG001"</f>
        <v>AG001</v>
      </c>
      <c r="H54" t="str">
        <f>"01/16/18"</f>
        <v>01/16/18</v>
      </c>
      <c r="I54" t="str">
        <f>"6355-4"</f>
        <v>6355-4</v>
      </c>
      <c r="J54" s="3">
        <v>52611.360000000001</v>
      </c>
      <c r="K54" t="str">
        <f>"ROBINSON GREEN BERETTA CORP, THE"</f>
        <v>ROBINSON GREEN BERETTA CORP, THE</v>
      </c>
      <c r="L54" t="str">
        <f>"A&amp;E SERVICES AT DEPARTMENT OF ATTORNEY GENERAL - 150 SOUTH MAIN ST, PROVIDENCE RI 02903 - IN ACCORDANCE TO PLANS AND SPECIFICATIONS OF PUBLIC SOLICITATION #7551401 AND AIA AGREEMENT 3519578"</f>
        <v>A&amp;E SERVICES AT DEPARTMENT OF ATTORNEY GENERAL - 150 SOUTH MAIN ST, PROVIDENCE RI 02903 - IN ACCORDANCE TO PLANS AND SPECIFICATIONS OF PUBLIC SOLICITATION #7551401 AND AIA AGREEMENT 3519578</v>
      </c>
      <c r="M54" t="str">
        <f>"SVALLANT"</f>
        <v>SVALLANT</v>
      </c>
    </row>
    <row r="55" spans="1:13" x14ac:dyDescent="0.25">
      <c r="I55"/>
      <c r="J55" s="6">
        <f>SUM(J51:J54)</f>
        <v>363006.01</v>
      </c>
    </row>
    <row r="56" spans="1:13" x14ac:dyDescent="0.25">
      <c r="I56"/>
      <c r="J56" s="3"/>
    </row>
    <row r="57" spans="1:13" x14ac:dyDescent="0.25">
      <c r="A57" t="str">
        <f t="shared" ref="A57:A63" si="20">"18"</f>
        <v>18</v>
      </c>
      <c r="B57" t="str">
        <f t="shared" ref="B57:B63" si="21">"10"</f>
        <v>10</v>
      </c>
      <c r="C57" t="str">
        <f t="shared" ref="C57:C63" si="22">"066"</f>
        <v>066</v>
      </c>
      <c r="D57" t="str">
        <f t="shared" ref="D57:D63" si="23">"3005118"</f>
        <v>3005118</v>
      </c>
      <c r="E57" t="str">
        <f t="shared" ref="E57:E63" si="24">"02"</f>
        <v>02</v>
      </c>
      <c r="F57" t="str">
        <f t="shared" ref="F57:F63" si="25">"634200"</f>
        <v>634200</v>
      </c>
      <c r="G57" t="str">
        <f t="shared" ref="G57:G63" si="26">"AG006"</f>
        <v>AG006</v>
      </c>
      <c r="H57" t="str">
        <f>"08/18/17"</f>
        <v>08/18/17</v>
      </c>
      <c r="I57" t="str">
        <f>"19857"</f>
        <v>19857</v>
      </c>
      <c r="J57" s="3">
        <v>18381.89</v>
      </c>
      <c r="K57" t="str">
        <f t="shared" ref="K57:K63" si="27">"VISION III ARCHITECTS INC"</f>
        <v>VISION III ARCHITECTS INC</v>
      </c>
      <c r="L57" t="str">
        <f t="shared" ref="L57:L63" si="28">"A&amp;E FOR THE PASTORE COMPLEX - RIAG CUSTOMER SERVICE FACILITY PROJECT"</f>
        <v>A&amp;E FOR THE PASTORE COMPLEX - RIAG CUSTOMER SERVICE FACILITY PROJECT</v>
      </c>
      <c r="M57" t="str">
        <f t="shared" ref="M57:M63" si="29">"SVALLANT"</f>
        <v>SVALLANT</v>
      </c>
    </row>
    <row r="58" spans="1:13" x14ac:dyDescent="0.25">
      <c r="A58" t="str">
        <f t="shared" si="20"/>
        <v>18</v>
      </c>
      <c r="B58" t="str">
        <f t="shared" si="21"/>
        <v>10</v>
      </c>
      <c r="C58" t="str">
        <f t="shared" si="22"/>
        <v>066</v>
      </c>
      <c r="D58" t="str">
        <f t="shared" si="23"/>
        <v>3005118</v>
      </c>
      <c r="E58" t="str">
        <f t="shared" si="24"/>
        <v>02</v>
      </c>
      <c r="F58" t="str">
        <f t="shared" si="25"/>
        <v>634200</v>
      </c>
      <c r="G58" t="str">
        <f t="shared" si="26"/>
        <v>AG006</v>
      </c>
      <c r="H58" t="str">
        <f>"08/25/17"</f>
        <v>08/25/17</v>
      </c>
      <c r="I58" t="str">
        <f>"19949"</f>
        <v>19949</v>
      </c>
      <c r="J58" s="3">
        <v>20908.36</v>
      </c>
      <c r="K58" t="str">
        <f t="shared" si="27"/>
        <v>VISION III ARCHITECTS INC</v>
      </c>
      <c r="L58" t="str">
        <f t="shared" si="28"/>
        <v>A&amp;E FOR THE PASTORE COMPLEX - RIAG CUSTOMER SERVICE FACILITY PROJECT</v>
      </c>
      <c r="M58" t="str">
        <f t="shared" si="29"/>
        <v>SVALLANT</v>
      </c>
    </row>
    <row r="59" spans="1:13" x14ac:dyDescent="0.25">
      <c r="A59" t="str">
        <f t="shared" si="20"/>
        <v>18</v>
      </c>
      <c r="B59" t="str">
        <f t="shared" si="21"/>
        <v>10</v>
      </c>
      <c r="C59" t="str">
        <f t="shared" si="22"/>
        <v>066</v>
      </c>
      <c r="D59" t="str">
        <f t="shared" si="23"/>
        <v>3005118</v>
      </c>
      <c r="E59" t="str">
        <f t="shared" si="24"/>
        <v>02</v>
      </c>
      <c r="F59" t="str">
        <f t="shared" si="25"/>
        <v>634200</v>
      </c>
      <c r="G59" t="str">
        <f t="shared" si="26"/>
        <v>AG006</v>
      </c>
      <c r="H59" t="str">
        <f>"10/13/17"</f>
        <v>10/13/17</v>
      </c>
      <c r="I59" t="str">
        <f>"20019"</f>
        <v>20019</v>
      </c>
      <c r="J59" s="3">
        <v>35866.32</v>
      </c>
      <c r="K59" t="str">
        <f t="shared" si="27"/>
        <v>VISION III ARCHITECTS INC</v>
      </c>
      <c r="L59" t="str">
        <f t="shared" si="28"/>
        <v>A&amp;E FOR THE PASTORE COMPLEX - RIAG CUSTOMER SERVICE FACILITY PROJECT</v>
      </c>
      <c r="M59" t="str">
        <f t="shared" si="29"/>
        <v>SVALLANT</v>
      </c>
    </row>
    <row r="60" spans="1:13" x14ac:dyDescent="0.25">
      <c r="A60" t="str">
        <f t="shared" si="20"/>
        <v>18</v>
      </c>
      <c r="B60" t="str">
        <f t="shared" si="21"/>
        <v>10</v>
      </c>
      <c r="C60" t="str">
        <f t="shared" si="22"/>
        <v>066</v>
      </c>
      <c r="D60" t="str">
        <f t="shared" si="23"/>
        <v>3005118</v>
      </c>
      <c r="E60" t="str">
        <f t="shared" si="24"/>
        <v>02</v>
      </c>
      <c r="F60" t="str">
        <f t="shared" si="25"/>
        <v>634200</v>
      </c>
      <c r="G60" t="str">
        <f t="shared" si="26"/>
        <v>AG006</v>
      </c>
      <c r="H60" t="str">
        <f>"10/24/17"</f>
        <v>10/24/17</v>
      </c>
      <c r="I60" t="str">
        <f>"20111"</f>
        <v>20111</v>
      </c>
      <c r="J60" s="3">
        <v>20826.2</v>
      </c>
      <c r="K60" t="str">
        <f t="shared" si="27"/>
        <v>VISION III ARCHITECTS INC</v>
      </c>
      <c r="L60" t="str">
        <f t="shared" si="28"/>
        <v>A&amp;E FOR THE PASTORE COMPLEX - RIAG CUSTOMER SERVICE FACILITY PROJECT</v>
      </c>
      <c r="M60" t="str">
        <f t="shared" si="29"/>
        <v>SVALLANT</v>
      </c>
    </row>
    <row r="61" spans="1:13" x14ac:dyDescent="0.25">
      <c r="A61" t="str">
        <f t="shared" si="20"/>
        <v>18</v>
      </c>
      <c r="B61" t="str">
        <f t="shared" si="21"/>
        <v>10</v>
      </c>
      <c r="C61" t="str">
        <f t="shared" si="22"/>
        <v>066</v>
      </c>
      <c r="D61" t="str">
        <f t="shared" si="23"/>
        <v>3005118</v>
      </c>
      <c r="E61" t="str">
        <f t="shared" si="24"/>
        <v>02</v>
      </c>
      <c r="F61" t="str">
        <f t="shared" si="25"/>
        <v>634200</v>
      </c>
      <c r="G61" t="str">
        <f t="shared" si="26"/>
        <v>AG006</v>
      </c>
      <c r="H61" t="str">
        <f>"12/15/17"</f>
        <v>12/15/17</v>
      </c>
      <c r="I61" t="str">
        <f>"20176"</f>
        <v>20176</v>
      </c>
      <c r="J61" s="3">
        <v>7054.65</v>
      </c>
      <c r="K61" t="str">
        <f t="shared" si="27"/>
        <v>VISION III ARCHITECTS INC</v>
      </c>
      <c r="L61" t="str">
        <f t="shared" si="28"/>
        <v>A&amp;E FOR THE PASTORE COMPLEX - RIAG CUSTOMER SERVICE FACILITY PROJECT</v>
      </c>
      <c r="M61" t="str">
        <f t="shared" si="29"/>
        <v>SVALLANT</v>
      </c>
    </row>
    <row r="62" spans="1:13" x14ac:dyDescent="0.25">
      <c r="A62" t="str">
        <f t="shared" si="20"/>
        <v>18</v>
      </c>
      <c r="B62" t="str">
        <f t="shared" si="21"/>
        <v>10</v>
      </c>
      <c r="C62" t="str">
        <f t="shared" si="22"/>
        <v>066</v>
      </c>
      <c r="D62" t="str">
        <f t="shared" si="23"/>
        <v>3005118</v>
      </c>
      <c r="E62" t="str">
        <f t="shared" si="24"/>
        <v>02</v>
      </c>
      <c r="F62" t="str">
        <f t="shared" si="25"/>
        <v>634200</v>
      </c>
      <c r="G62" t="str">
        <f t="shared" si="26"/>
        <v>AG006</v>
      </c>
      <c r="H62" t="str">
        <f>"12/28/17"</f>
        <v>12/28/17</v>
      </c>
      <c r="I62" t="str">
        <f>"20305"</f>
        <v>20305</v>
      </c>
      <c r="J62" s="3">
        <v>13698.39</v>
      </c>
      <c r="K62" t="str">
        <f t="shared" si="27"/>
        <v>VISION III ARCHITECTS INC</v>
      </c>
      <c r="L62" t="str">
        <f t="shared" si="28"/>
        <v>A&amp;E FOR THE PASTORE COMPLEX - RIAG CUSTOMER SERVICE FACILITY PROJECT</v>
      </c>
      <c r="M62" t="str">
        <f t="shared" si="29"/>
        <v>SVALLANT</v>
      </c>
    </row>
    <row r="63" spans="1:13" x14ac:dyDescent="0.25">
      <c r="A63" t="str">
        <f t="shared" si="20"/>
        <v>18</v>
      </c>
      <c r="B63" t="str">
        <f t="shared" si="21"/>
        <v>10</v>
      </c>
      <c r="C63" t="str">
        <f t="shared" si="22"/>
        <v>066</v>
      </c>
      <c r="D63" t="str">
        <f t="shared" si="23"/>
        <v>3005118</v>
      </c>
      <c r="E63" t="str">
        <f t="shared" si="24"/>
        <v>02</v>
      </c>
      <c r="F63" t="str">
        <f t="shared" si="25"/>
        <v>634200</v>
      </c>
      <c r="G63" t="str">
        <f t="shared" si="26"/>
        <v>AG006</v>
      </c>
      <c r="H63" t="str">
        <f>"01/12/18"</f>
        <v>01/12/18</v>
      </c>
      <c r="I63" t="str">
        <f>"20327"</f>
        <v>20327</v>
      </c>
      <c r="J63" s="3">
        <v>6696.51</v>
      </c>
      <c r="K63" t="str">
        <f t="shared" si="27"/>
        <v>VISION III ARCHITECTS INC</v>
      </c>
      <c r="L63" t="str">
        <f t="shared" si="28"/>
        <v>A&amp;E FOR THE PASTORE COMPLEX - RIAG CUSTOMER SERVICE FACILITY PROJECT</v>
      </c>
      <c r="M63" t="str">
        <f t="shared" si="29"/>
        <v>SVALLANT</v>
      </c>
    </row>
    <row r="64" spans="1:13" x14ac:dyDescent="0.25">
      <c r="I64"/>
      <c r="J64" s="6">
        <f>SUM(J57:J63)</f>
        <v>123432.31999999999</v>
      </c>
    </row>
    <row r="65" spans="1:13" x14ac:dyDescent="0.25">
      <c r="I65"/>
      <c r="J65" s="3"/>
    </row>
    <row r="66" spans="1:13" x14ac:dyDescent="0.25">
      <c r="A66" t="str">
        <f t="shared" ref="A66:A72" si="30">"18"</f>
        <v>18</v>
      </c>
      <c r="B66" t="str">
        <f t="shared" ref="B66:B72" si="31">"10"</f>
        <v>10</v>
      </c>
      <c r="C66" t="str">
        <f t="shared" ref="C66:C72" si="32">"066"</f>
        <v>066</v>
      </c>
      <c r="D66" t="str">
        <f t="shared" ref="D66:D72" si="33">"3005118"</f>
        <v>3005118</v>
      </c>
      <c r="E66" t="str">
        <f t="shared" ref="E66:E72" si="34">"02"</f>
        <v>02</v>
      </c>
      <c r="F66" t="str">
        <f t="shared" ref="F66:F72" si="35">"638100"</f>
        <v>638100</v>
      </c>
      <c r="G66" t="str">
        <f t="shared" ref="G66:G72" si="36">"00000"</f>
        <v>00000</v>
      </c>
      <c r="H66" t="str">
        <f>"12/22/17"</f>
        <v>12/22/17</v>
      </c>
      <c r="I66" t="str">
        <f>"5936"</f>
        <v>5936</v>
      </c>
      <c r="J66" s="4">
        <v>1284.32</v>
      </c>
      <c r="K66" t="str">
        <f t="shared" ref="K66:K72" si="37">"TNT CLEANING SERVICES INC"</f>
        <v>TNT CLEANING SERVICES INC</v>
      </c>
      <c r="L66" t="str">
        <f t="shared" ref="L66:L72" si="38">"APA-7372  - FY 18 - JANITORIAL SERVICES FOR ROUTINE CLEANING SERVICES AS DESCRIBED IN ATTACHMENT B FOR 180 SOUTH MAIN ST"</f>
        <v>APA-7372  - FY 18 - JANITORIAL SERVICES FOR ROUTINE CLEANING SERVICES AS DESCRIBED IN ATTACHMENT B FOR 180 SOUTH MAIN ST</v>
      </c>
      <c r="M66" t="str">
        <f t="shared" ref="M66:M72" si="39">"ABROWN"</f>
        <v>ABROWN</v>
      </c>
    </row>
    <row r="67" spans="1:13" x14ac:dyDescent="0.25">
      <c r="A67" t="str">
        <f t="shared" si="30"/>
        <v>18</v>
      </c>
      <c r="B67" t="str">
        <f t="shared" si="31"/>
        <v>10</v>
      </c>
      <c r="C67" t="str">
        <f t="shared" si="32"/>
        <v>066</v>
      </c>
      <c r="D67" t="str">
        <f t="shared" si="33"/>
        <v>3005118</v>
      </c>
      <c r="E67" t="str">
        <f t="shared" si="34"/>
        <v>02</v>
      </c>
      <c r="F67" t="str">
        <f t="shared" si="35"/>
        <v>638100</v>
      </c>
      <c r="G67" t="str">
        <f t="shared" si="36"/>
        <v>00000</v>
      </c>
      <c r="H67" t="str">
        <f>"12/22/17"</f>
        <v>12/22/17</v>
      </c>
      <c r="I67" t="str">
        <f>"5936"</f>
        <v>5936</v>
      </c>
      <c r="J67" s="4">
        <v>1284.32</v>
      </c>
      <c r="K67" t="str">
        <f t="shared" si="37"/>
        <v>TNT CLEANING SERVICES INC</v>
      </c>
      <c r="L67" t="str">
        <f t="shared" si="38"/>
        <v>APA-7372  - FY 18 - JANITORIAL SERVICES FOR ROUTINE CLEANING SERVICES AS DESCRIBED IN ATTACHMENT B FOR 180 SOUTH MAIN ST</v>
      </c>
      <c r="M67" t="str">
        <f t="shared" si="39"/>
        <v>ABROWN</v>
      </c>
    </row>
    <row r="68" spans="1:13" x14ac:dyDescent="0.25">
      <c r="A68" t="str">
        <f t="shared" si="30"/>
        <v>18</v>
      </c>
      <c r="B68" t="str">
        <f t="shared" si="31"/>
        <v>10</v>
      </c>
      <c r="C68" t="str">
        <f t="shared" si="32"/>
        <v>066</v>
      </c>
      <c r="D68" t="str">
        <f t="shared" si="33"/>
        <v>3005118</v>
      </c>
      <c r="E68" t="str">
        <f t="shared" si="34"/>
        <v>02</v>
      </c>
      <c r="F68" t="str">
        <f t="shared" si="35"/>
        <v>638100</v>
      </c>
      <c r="G68" t="str">
        <f t="shared" si="36"/>
        <v>00000</v>
      </c>
      <c r="H68" t="str">
        <f>"12/22/17"</f>
        <v>12/22/17</v>
      </c>
      <c r="I68" t="str">
        <f>"5936"</f>
        <v>5936</v>
      </c>
      <c r="J68" s="4">
        <v>-1284.32</v>
      </c>
      <c r="K68" t="str">
        <f t="shared" si="37"/>
        <v>TNT CLEANING SERVICES INC</v>
      </c>
      <c r="L68" t="str">
        <f t="shared" si="38"/>
        <v>APA-7372  - FY 18 - JANITORIAL SERVICES FOR ROUTINE CLEANING SERVICES AS DESCRIBED IN ATTACHMENT B FOR 180 SOUTH MAIN ST</v>
      </c>
      <c r="M68" t="str">
        <f t="shared" si="39"/>
        <v>ABROWN</v>
      </c>
    </row>
    <row r="69" spans="1:13" x14ac:dyDescent="0.25">
      <c r="A69" t="str">
        <f t="shared" si="30"/>
        <v>18</v>
      </c>
      <c r="B69" t="str">
        <f t="shared" si="31"/>
        <v>10</v>
      </c>
      <c r="C69" t="str">
        <f t="shared" si="32"/>
        <v>066</v>
      </c>
      <c r="D69" t="str">
        <f t="shared" si="33"/>
        <v>3005118</v>
      </c>
      <c r="E69" t="str">
        <f t="shared" si="34"/>
        <v>02</v>
      </c>
      <c r="F69" t="str">
        <f t="shared" si="35"/>
        <v>638100</v>
      </c>
      <c r="G69" t="str">
        <f t="shared" si="36"/>
        <v>00000</v>
      </c>
      <c r="H69" t="str">
        <f>"12/22/17"</f>
        <v>12/22/17</v>
      </c>
      <c r="I69" t="str">
        <f>"5937"</f>
        <v>5937</v>
      </c>
      <c r="J69" s="4">
        <v>1284.32</v>
      </c>
      <c r="K69" t="str">
        <f t="shared" si="37"/>
        <v>TNT CLEANING SERVICES INC</v>
      </c>
      <c r="L69" t="str">
        <f t="shared" si="38"/>
        <v>APA-7372  - FY 18 - JANITORIAL SERVICES FOR ROUTINE CLEANING SERVICES AS DESCRIBED IN ATTACHMENT B FOR 180 SOUTH MAIN ST</v>
      </c>
      <c r="M69" t="str">
        <f t="shared" si="39"/>
        <v>ABROWN</v>
      </c>
    </row>
    <row r="70" spans="1:13" x14ac:dyDescent="0.25">
      <c r="A70" t="str">
        <f t="shared" si="30"/>
        <v>18</v>
      </c>
      <c r="B70" t="str">
        <f t="shared" si="31"/>
        <v>10</v>
      </c>
      <c r="C70" t="str">
        <f t="shared" si="32"/>
        <v>066</v>
      </c>
      <c r="D70" t="str">
        <f t="shared" si="33"/>
        <v>3005118</v>
      </c>
      <c r="E70" t="str">
        <f t="shared" si="34"/>
        <v>02</v>
      </c>
      <c r="F70" t="str">
        <f t="shared" si="35"/>
        <v>638100</v>
      </c>
      <c r="G70" t="str">
        <f t="shared" si="36"/>
        <v>00000</v>
      </c>
      <c r="H70" t="str">
        <f>"12/22/17"</f>
        <v>12/22/17</v>
      </c>
      <c r="I70" t="str">
        <f>"5938"</f>
        <v>5938</v>
      </c>
      <c r="J70" s="4">
        <v>1284.32</v>
      </c>
      <c r="K70" t="str">
        <f t="shared" si="37"/>
        <v>TNT CLEANING SERVICES INC</v>
      </c>
      <c r="L70" t="str">
        <f t="shared" si="38"/>
        <v>APA-7372  - FY 18 - JANITORIAL SERVICES FOR ROUTINE CLEANING SERVICES AS DESCRIBED IN ATTACHMENT B FOR 180 SOUTH MAIN ST</v>
      </c>
      <c r="M70" t="str">
        <f t="shared" si="39"/>
        <v>ABROWN</v>
      </c>
    </row>
    <row r="71" spans="1:13" x14ac:dyDescent="0.25">
      <c r="A71" t="str">
        <f t="shared" si="30"/>
        <v>18</v>
      </c>
      <c r="B71" t="str">
        <f t="shared" si="31"/>
        <v>10</v>
      </c>
      <c r="C71" t="str">
        <f t="shared" si="32"/>
        <v>066</v>
      </c>
      <c r="D71" t="str">
        <f t="shared" si="33"/>
        <v>3005118</v>
      </c>
      <c r="E71" t="str">
        <f t="shared" si="34"/>
        <v>02</v>
      </c>
      <c r="F71" t="str">
        <f t="shared" si="35"/>
        <v>638100</v>
      </c>
      <c r="G71" t="str">
        <f t="shared" si="36"/>
        <v>00000</v>
      </c>
      <c r="H71" t="str">
        <f>"01/19/18"</f>
        <v>01/19/18</v>
      </c>
      <c r="I71" t="str">
        <f>"6160"</f>
        <v>6160</v>
      </c>
      <c r="J71" s="4">
        <v>1284.32</v>
      </c>
      <c r="K71" t="str">
        <f t="shared" si="37"/>
        <v>TNT CLEANING SERVICES INC</v>
      </c>
      <c r="L71" t="str">
        <f t="shared" si="38"/>
        <v>APA-7372  - FY 18 - JANITORIAL SERVICES FOR ROUTINE CLEANING SERVICES AS DESCRIBED IN ATTACHMENT B FOR 180 SOUTH MAIN ST</v>
      </c>
      <c r="M71" t="str">
        <f t="shared" si="39"/>
        <v>ABROWN</v>
      </c>
    </row>
    <row r="72" spans="1:13" x14ac:dyDescent="0.25">
      <c r="A72" t="str">
        <f t="shared" si="30"/>
        <v>18</v>
      </c>
      <c r="B72" t="str">
        <f t="shared" si="31"/>
        <v>10</v>
      </c>
      <c r="C72" t="str">
        <f t="shared" si="32"/>
        <v>066</v>
      </c>
      <c r="D72" t="str">
        <f t="shared" si="33"/>
        <v>3005118</v>
      </c>
      <c r="E72" t="str">
        <f t="shared" si="34"/>
        <v>02</v>
      </c>
      <c r="F72" t="str">
        <f t="shared" si="35"/>
        <v>638100</v>
      </c>
      <c r="G72" t="str">
        <f t="shared" si="36"/>
        <v>00000</v>
      </c>
      <c r="H72" t="str">
        <f>"01/26/18"</f>
        <v>01/26/18</v>
      </c>
      <c r="I72" t="str">
        <f>"6161"</f>
        <v>6161</v>
      </c>
      <c r="J72" s="4">
        <v>1284.32</v>
      </c>
      <c r="K72" t="str">
        <f t="shared" si="37"/>
        <v>TNT CLEANING SERVICES INC</v>
      </c>
      <c r="L72" t="str">
        <f t="shared" si="38"/>
        <v>APA-7372  - FY 18 - JANITORIAL SERVICES FOR ROUTINE CLEANING SERVICES AS DESCRIBED IN ATTACHMENT B FOR 180 SOUTH MAIN ST</v>
      </c>
      <c r="M72" t="str">
        <f t="shared" si="39"/>
        <v>ABROWN</v>
      </c>
    </row>
    <row r="73" spans="1:13" x14ac:dyDescent="0.25">
      <c r="J73" s="6">
        <f>SUM(J66:J72)</f>
        <v>6421.5999999999995</v>
      </c>
    </row>
    <row r="74" spans="1:13" x14ac:dyDescent="0.25">
      <c r="J74" s="3"/>
    </row>
    <row r="75" spans="1:13" x14ac:dyDescent="0.25">
      <c r="A75" t="str">
        <f>"18"</f>
        <v>18</v>
      </c>
      <c r="B75" t="str">
        <f>"10"</f>
        <v>10</v>
      </c>
      <c r="C75" t="str">
        <f>"066"</f>
        <v>066</v>
      </c>
      <c r="D75" t="str">
        <f>"3005118"</f>
        <v>3005118</v>
      </c>
      <c r="E75" t="str">
        <f>"02"</f>
        <v>02</v>
      </c>
      <c r="F75" t="str">
        <f>"639500"</f>
        <v>639500</v>
      </c>
      <c r="G75" t="str">
        <f>"00000"</f>
        <v>00000</v>
      </c>
      <c r="H75" t="str">
        <f>"01/16/18"</f>
        <v>01/16/18</v>
      </c>
      <c r="I75" s="1" t="str">
        <f>"180381"</f>
        <v>180381</v>
      </c>
      <c r="J75" s="6">
        <v>155.69999999999999</v>
      </c>
      <c r="K75" t="str">
        <f>"NATIONAL SECURITY CORPORATION"</f>
        <v>NATIONAL SECURITY CORPORATION</v>
      </c>
      <c r="L75" t="str">
        <f>"180- Commercial Monthly Monitoring"</f>
        <v>180- Commercial Monthly Monitoring</v>
      </c>
      <c r="M75" t="str">
        <f>"ABROWN"</f>
        <v>ABROWN</v>
      </c>
    </row>
    <row r="76" spans="1:13" x14ac:dyDescent="0.25">
      <c r="J76" s="3"/>
    </row>
    <row r="77" spans="1:13" x14ac:dyDescent="0.25">
      <c r="A77" t="str">
        <f>"18"</f>
        <v>18</v>
      </c>
      <c r="B77" t="str">
        <f>"10"</f>
        <v>10</v>
      </c>
      <c r="C77" t="str">
        <f>"066"</f>
        <v>066</v>
      </c>
      <c r="D77" t="str">
        <f>"3005118"</f>
        <v>3005118</v>
      </c>
      <c r="E77" t="str">
        <f>"02"</f>
        <v>02</v>
      </c>
      <c r="F77" t="str">
        <f>"640100"</f>
        <v>640100</v>
      </c>
      <c r="G77" t="str">
        <f>"00000"</f>
        <v>00000</v>
      </c>
      <c r="H77" t="str">
        <f>"01/19/18"</f>
        <v>01/19/18</v>
      </c>
      <c r="I77" s="1" t="str">
        <f>"12061"</f>
        <v>12061</v>
      </c>
      <c r="J77" s="6">
        <v>156</v>
      </c>
      <c r="K77" t="str">
        <f>"A &amp; P FIRE SYSTEMS LLC"</f>
        <v>A &amp; P FIRE SYSTEMS LLC</v>
      </c>
      <c r="L77" t="str">
        <f>"INV: 12061 - QUARTERLY FIRE AND SPRINKLER ALARM INSPECTION PAYMENT"</f>
        <v>INV: 12061 - QUARTERLY FIRE AND SPRINKLER ALARM INSPECTION PAYMENT</v>
      </c>
      <c r="M77" t="str">
        <f>"SVALLANT"</f>
        <v>SVALLANT</v>
      </c>
    </row>
    <row r="78" spans="1:13" x14ac:dyDescent="0.25">
      <c r="J78" s="3"/>
    </row>
    <row r="79" spans="1:13" x14ac:dyDescent="0.25">
      <c r="A79" t="str">
        <f>"18"</f>
        <v>18</v>
      </c>
      <c r="B79" t="str">
        <f>"10"</f>
        <v>10</v>
      </c>
      <c r="C79" t="str">
        <f>"066"</f>
        <v>066</v>
      </c>
      <c r="D79" t="str">
        <f>"3005118"</f>
        <v>3005118</v>
      </c>
      <c r="E79" t="str">
        <f>"02"</f>
        <v>02</v>
      </c>
      <c r="F79" t="str">
        <f>"640100"</f>
        <v>640100</v>
      </c>
      <c r="G79" t="str">
        <f>"00000"</f>
        <v>00000</v>
      </c>
      <c r="H79" t="str">
        <f>"10/30/17"</f>
        <v>10/30/17</v>
      </c>
      <c r="I79" s="1" t="str">
        <f>"10136"</f>
        <v>10136</v>
      </c>
      <c r="J79" s="6">
        <v>131.16</v>
      </c>
      <c r="K79" t="str">
        <f>"BARLOW'S PLUMBING &amp; WELL SYS INC"</f>
        <v>BARLOW'S PLUMBING &amp; WELL SYS INC</v>
      </c>
      <c r="L79" t="str">
        <f>"MPA-40   FY17 - FY18  REGULAR HOURLY RATE FOR PLUMBER ON THE JOB."</f>
        <v>MPA-40   FY17 - FY18  REGULAR HOURLY RATE FOR PLUMBER ON THE JOB.</v>
      </c>
      <c r="M79" t="str">
        <f>"SVALLANT"</f>
        <v>SVALLANT</v>
      </c>
    </row>
    <row r="80" spans="1:13" x14ac:dyDescent="0.25">
      <c r="J80" s="3"/>
    </row>
    <row r="81" spans="1:13" x14ac:dyDescent="0.25">
      <c r="A81" t="str">
        <f>"18"</f>
        <v>18</v>
      </c>
      <c r="B81" t="str">
        <f>"10"</f>
        <v>10</v>
      </c>
      <c r="C81" t="str">
        <f>"066"</f>
        <v>066</v>
      </c>
      <c r="D81" t="str">
        <f>"3005118"</f>
        <v>3005118</v>
      </c>
      <c r="E81" t="str">
        <f>"02"</f>
        <v>02</v>
      </c>
      <c r="F81" t="str">
        <f>"640100"</f>
        <v>640100</v>
      </c>
      <c r="G81" t="str">
        <f>"00000"</f>
        <v>00000</v>
      </c>
      <c r="H81" t="str">
        <f>"12/29/17"</f>
        <v>12/29/17</v>
      </c>
      <c r="I81" s="1" t="str">
        <f>"14379"</f>
        <v>14379</v>
      </c>
      <c r="J81" s="3">
        <v>1030.1500000000001</v>
      </c>
      <c r="K81" t="str">
        <f>"C &amp; K ELECTRIC CO INC"</f>
        <v>C &amp; K ELECTRIC CO INC</v>
      </c>
      <c r="L81" t="str">
        <f>"FY18 electrical repairs and maintenance at 180 (per MPA award pricing 3522774)"</f>
        <v>FY18 electrical repairs and maintenance at 180 (per MPA award pricing 3522774)</v>
      </c>
      <c r="M81" t="str">
        <f>"ROB@CKEL"</f>
        <v>ROB@CKEL</v>
      </c>
    </row>
    <row r="82" spans="1:13" x14ac:dyDescent="0.25">
      <c r="A82" t="str">
        <f>"18"</f>
        <v>18</v>
      </c>
      <c r="B82" t="str">
        <f>"10"</f>
        <v>10</v>
      </c>
      <c r="C82" t="str">
        <f>"066"</f>
        <v>066</v>
      </c>
      <c r="D82" t="str">
        <f>"3005118"</f>
        <v>3005118</v>
      </c>
      <c r="E82" t="str">
        <f>"02"</f>
        <v>02</v>
      </c>
      <c r="F82" t="str">
        <f>"640100"</f>
        <v>640100</v>
      </c>
      <c r="G82" t="str">
        <f>"00000"</f>
        <v>00000</v>
      </c>
      <c r="H82" t="str">
        <f>"12/29/17"</f>
        <v>12/29/17</v>
      </c>
      <c r="I82" s="1" t="str">
        <f>"14391"</f>
        <v>14391</v>
      </c>
      <c r="J82" s="3">
        <v>1006.25</v>
      </c>
      <c r="K82" t="str">
        <f>"C &amp; K ELECTRIC CO INC"</f>
        <v>C &amp; K ELECTRIC CO INC</v>
      </c>
      <c r="L82" t="str">
        <f>"FY18 electrical repairs and maintenance at 180 (per MPA award pricing 3522774)"</f>
        <v>FY18 electrical repairs and maintenance at 180 (per MPA award pricing 3522774)</v>
      </c>
      <c r="M82" t="str">
        <f>"ROB@CKEL"</f>
        <v>ROB@CKEL</v>
      </c>
    </row>
    <row r="83" spans="1:13" x14ac:dyDescent="0.25">
      <c r="A83" t="str">
        <f>"18"</f>
        <v>18</v>
      </c>
      <c r="B83" t="str">
        <f>"10"</f>
        <v>10</v>
      </c>
      <c r="C83" t="str">
        <f>"066"</f>
        <v>066</v>
      </c>
      <c r="D83" t="str">
        <f>"3005118"</f>
        <v>3005118</v>
      </c>
      <c r="E83" t="str">
        <f>"02"</f>
        <v>02</v>
      </c>
      <c r="F83" t="str">
        <f>"640100"</f>
        <v>640100</v>
      </c>
      <c r="G83" t="str">
        <f>"00000"</f>
        <v>00000</v>
      </c>
      <c r="H83" t="str">
        <f>"01/16/18"</f>
        <v>01/16/18</v>
      </c>
      <c r="I83" s="1" t="str">
        <f>"14299"</f>
        <v>14299</v>
      </c>
      <c r="J83" s="3">
        <v>834.5</v>
      </c>
      <c r="K83" t="str">
        <f>"C &amp; K ELECTRIC CO INC"</f>
        <v>C &amp; K ELECTRIC CO INC</v>
      </c>
      <c r="L83" t="str">
        <f>"FY18 electrical repairs and maintenance at 180 (per MPA award pricing 3522774)"</f>
        <v>FY18 electrical repairs and maintenance at 180 (per MPA award pricing 3522774)</v>
      </c>
      <c r="M83" t="str">
        <f>"ROB@CKEL"</f>
        <v>ROB@CKEL</v>
      </c>
    </row>
    <row r="84" spans="1:13" x14ac:dyDescent="0.25">
      <c r="J84" s="6">
        <f>SUM(J81:J83)</f>
        <v>2870.9</v>
      </c>
    </row>
    <row r="85" spans="1:13" x14ac:dyDescent="0.25">
      <c r="I85"/>
      <c r="J85" s="4"/>
    </row>
    <row r="86" spans="1:13" x14ac:dyDescent="0.25">
      <c r="A86" t="str">
        <f t="shared" ref="A86:A96" si="40">"18"</f>
        <v>18</v>
      </c>
      <c r="B86" t="str">
        <f t="shared" ref="B86:B96" si="41">"10"</f>
        <v>10</v>
      </c>
      <c r="C86" t="str">
        <f t="shared" ref="C86:C96" si="42">"066"</f>
        <v>066</v>
      </c>
      <c r="D86" t="str">
        <f t="shared" ref="D86:D96" si="43">"3005118"</f>
        <v>3005118</v>
      </c>
      <c r="E86" t="str">
        <f t="shared" ref="E86:E96" si="44">"02"</f>
        <v>02</v>
      </c>
      <c r="F86" t="str">
        <f t="shared" ref="F86:F96" si="45">"640100"</f>
        <v>640100</v>
      </c>
      <c r="G86" t="str">
        <f t="shared" ref="G86:G96" si="46">"00000"</f>
        <v>00000</v>
      </c>
      <c r="H86" t="str">
        <f>"10/20/17"</f>
        <v>10/20/17</v>
      </c>
      <c r="I86" t="str">
        <f>"D17178"</f>
        <v>D17178</v>
      </c>
      <c r="J86" s="4">
        <v>1265</v>
      </c>
      <c r="K86" t="str">
        <f t="shared" ref="K86:K96" si="47">"DELTA MECHANICAL CONTRACTORS LLC"</f>
        <v>DELTA MECHANICAL CONTRACTORS LLC</v>
      </c>
      <c r="L86" t="str">
        <f>"MPA-136 FY17-18 LUMP SUM FIXED FEE PROJECTS:  INCLUDING TIME &amp; MATERIALS EMERGENCY, AND LUMP SUM FIXED FEE QUOTED PROJECTS"</f>
        <v>MPA-136 FY17-18 LUMP SUM FIXED FEE PROJECTS:  INCLUDING TIME &amp; MATERIALS EMERGENCY, AND LUMP SUM FIXED FEE QUOTED PROJECTS</v>
      </c>
      <c r="M86" t="str">
        <f>"SVALLANT"</f>
        <v>SVALLANT</v>
      </c>
    </row>
    <row r="87" spans="1:13" x14ac:dyDescent="0.25">
      <c r="A87" t="str">
        <f t="shared" si="40"/>
        <v>18</v>
      </c>
      <c r="B87" t="str">
        <f t="shared" si="41"/>
        <v>10</v>
      </c>
      <c r="C87" t="str">
        <f t="shared" si="42"/>
        <v>066</v>
      </c>
      <c r="D87" t="str">
        <f t="shared" si="43"/>
        <v>3005118</v>
      </c>
      <c r="E87" t="str">
        <f t="shared" si="44"/>
        <v>02</v>
      </c>
      <c r="F87" t="str">
        <f t="shared" si="45"/>
        <v>640100</v>
      </c>
      <c r="G87" t="str">
        <f t="shared" si="46"/>
        <v>00000</v>
      </c>
      <c r="H87" t="str">
        <f>"10/20/17"</f>
        <v>10/20/17</v>
      </c>
      <c r="I87" t="str">
        <f>"D17182"</f>
        <v>D17182</v>
      </c>
      <c r="J87" s="4">
        <v>2178</v>
      </c>
      <c r="K87" t="str">
        <f t="shared" si="47"/>
        <v>DELTA MECHANICAL CONTRACTORS LLC</v>
      </c>
      <c r="L87" t="str">
        <f>"MPA-136 FY17-18 Apprentice Pipefitter Straight Time Hourly Rate Onsite: Highest Tier"</f>
        <v>MPA-136 FY17-18 Apprentice Pipefitter Straight Time Hourly Rate Onsite: Highest Tier</v>
      </c>
      <c r="M87" t="str">
        <f>"SVALLANT"</f>
        <v>SVALLANT</v>
      </c>
    </row>
    <row r="88" spans="1:13" x14ac:dyDescent="0.25">
      <c r="A88" t="str">
        <f t="shared" si="40"/>
        <v>18</v>
      </c>
      <c r="B88" t="str">
        <f t="shared" si="41"/>
        <v>10</v>
      </c>
      <c r="C88" t="str">
        <f t="shared" si="42"/>
        <v>066</v>
      </c>
      <c r="D88" t="str">
        <f t="shared" si="43"/>
        <v>3005118</v>
      </c>
      <c r="E88" t="str">
        <f t="shared" si="44"/>
        <v>02</v>
      </c>
      <c r="F88" t="str">
        <f t="shared" si="45"/>
        <v>640100</v>
      </c>
      <c r="G88" t="str">
        <f t="shared" si="46"/>
        <v>00000</v>
      </c>
      <c r="H88" t="str">
        <f>"10/20/17"</f>
        <v>10/20/17</v>
      </c>
      <c r="I88" t="str">
        <f>"D17182"</f>
        <v>D17182</v>
      </c>
      <c r="J88" s="4">
        <v>4442.63</v>
      </c>
      <c r="K88" t="str">
        <f t="shared" si="47"/>
        <v>DELTA MECHANICAL CONTRACTORS LLC</v>
      </c>
      <c r="L88" t="str">
        <f>"MPA-136 FY17-18 LUMP SUM FIXED FEE PROJECTS:  INCLUDING TIME &amp; MATERIALS EMERGENCY, AND LUMP SUM FIXED FEE QUOTED PROJECTS"</f>
        <v>MPA-136 FY17-18 LUMP SUM FIXED FEE PROJECTS:  INCLUDING TIME &amp; MATERIALS EMERGENCY, AND LUMP SUM FIXED FEE QUOTED PROJECTS</v>
      </c>
      <c r="M88" t="str">
        <f>"SVALLANT"</f>
        <v>SVALLANT</v>
      </c>
    </row>
    <row r="89" spans="1:13" x14ac:dyDescent="0.25">
      <c r="A89" t="str">
        <f t="shared" si="40"/>
        <v>18</v>
      </c>
      <c r="B89" t="str">
        <f t="shared" si="41"/>
        <v>10</v>
      </c>
      <c r="C89" t="str">
        <f t="shared" si="42"/>
        <v>066</v>
      </c>
      <c r="D89" t="str">
        <f t="shared" si="43"/>
        <v>3005118</v>
      </c>
      <c r="E89" t="str">
        <f t="shared" si="44"/>
        <v>02</v>
      </c>
      <c r="F89" t="str">
        <f t="shared" si="45"/>
        <v>640100</v>
      </c>
      <c r="G89" t="str">
        <f t="shared" si="46"/>
        <v>00000</v>
      </c>
      <c r="H89" t="str">
        <f>"10/20/17"</f>
        <v>10/20/17</v>
      </c>
      <c r="I89" t="str">
        <f>"D17182"</f>
        <v>D17182</v>
      </c>
      <c r="J89" s="4">
        <v>2662</v>
      </c>
      <c r="K89" t="str">
        <f t="shared" si="47"/>
        <v>DELTA MECHANICAL CONTRACTORS LLC</v>
      </c>
      <c r="L89" t="str">
        <f>"MPA-136 FY17-18 Pipefitter Master 1 Straight Time Hourly Rate Onsite: Highest Tier"</f>
        <v>MPA-136 FY17-18 Pipefitter Master 1 Straight Time Hourly Rate Onsite: Highest Tier</v>
      </c>
      <c r="M89" t="str">
        <f>"SVALLANT"</f>
        <v>SVALLANT</v>
      </c>
    </row>
    <row r="90" spans="1:13" x14ac:dyDescent="0.25">
      <c r="A90" t="str">
        <f t="shared" si="40"/>
        <v>18</v>
      </c>
      <c r="B90" t="str">
        <f t="shared" si="41"/>
        <v>10</v>
      </c>
      <c r="C90" t="str">
        <f t="shared" si="42"/>
        <v>066</v>
      </c>
      <c r="D90" t="str">
        <f t="shared" si="43"/>
        <v>3005118</v>
      </c>
      <c r="E90" t="str">
        <f t="shared" si="44"/>
        <v>02</v>
      </c>
      <c r="F90" t="str">
        <f t="shared" si="45"/>
        <v>640100</v>
      </c>
      <c r="G90" t="str">
        <f t="shared" si="46"/>
        <v>00000</v>
      </c>
      <c r="H90" t="str">
        <f>"11/29/17"</f>
        <v>11/29/17</v>
      </c>
      <c r="I90" t="str">
        <f>"D18020"</f>
        <v>D18020</v>
      </c>
      <c r="J90" s="4">
        <v>1694</v>
      </c>
      <c r="K90" t="str">
        <f t="shared" si="47"/>
        <v>DELTA MECHANICAL CONTRACTORS LLC</v>
      </c>
      <c r="L90" t="str">
        <f>"MPA-136 FY17-18 Pipefitter Master 1 Straight Time Hourly Rate Onsite: Highest Tier"</f>
        <v>MPA-136 FY17-18 Pipefitter Master 1 Straight Time Hourly Rate Onsite: Highest Tier</v>
      </c>
      <c r="M90" t="str">
        <f t="shared" ref="M90:M96" si="48">"ABROWN"</f>
        <v>ABROWN</v>
      </c>
    </row>
    <row r="91" spans="1:13" x14ac:dyDescent="0.25">
      <c r="A91" t="str">
        <f t="shared" si="40"/>
        <v>18</v>
      </c>
      <c r="B91" t="str">
        <f t="shared" si="41"/>
        <v>10</v>
      </c>
      <c r="C91" t="str">
        <f t="shared" si="42"/>
        <v>066</v>
      </c>
      <c r="D91" t="str">
        <f t="shared" si="43"/>
        <v>3005118</v>
      </c>
      <c r="E91" t="str">
        <f t="shared" si="44"/>
        <v>02</v>
      </c>
      <c r="F91" t="str">
        <f t="shared" si="45"/>
        <v>640100</v>
      </c>
      <c r="G91" t="str">
        <f t="shared" si="46"/>
        <v>00000</v>
      </c>
      <c r="H91" t="str">
        <f>"11/29/17"</f>
        <v>11/29/17</v>
      </c>
      <c r="I91" t="str">
        <f>"D18020"</f>
        <v>D18020</v>
      </c>
      <c r="J91" s="4">
        <v>221.55</v>
      </c>
      <c r="K91" t="str">
        <f t="shared" si="47"/>
        <v>DELTA MECHANICAL CONTRACTORS LLC</v>
      </c>
      <c r="L91" t="str">
        <f>"MPA-136 FY17-18 LUMP SUM FIXED FEE PROJECTS:  INCLUDING TIME &amp; MATERIALS EMERGENCY, AND LUMP SUM FIXED FEE QUOTED PROJECTS"</f>
        <v>MPA-136 FY17-18 LUMP SUM FIXED FEE PROJECTS:  INCLUDING TIME &amp; MATERIALS EMERGENCY, AND LUMP SUM FIXED FEE QUOTED PROJECTS</v>
      </c>
      <c r="M91" t="str">
        <f t="shared" si="48"/>
        <v>ABROWN</v>
      </c>
    </row>
    <row r="92" spans="1:13" x14ac:dyDescent="0.25">
      <c r="A92" t="str">
        <f t="shared" si="40"/>
        <v>18</v>
      </c>
      <c r="B92" t="str">
        <f t="shared" si="41"/>
        <v>10</v>
      </c>
      <c r="C92" t="str">
        <f t="shared" si="42"/>
        <v>066</v>
      </c>
      <c r="D92" t="str">
        <f t="shared" si="43"/>
        <v>3005118</v>
      </c>
      <c r="E92" t="str">
        <f t="shared" si="44"/>
        <v>02</v>
      </c>
      <c r="F92" t="str">
        <f t="shared" si="45"/>
        <v>640100</v>
      </c>
      <c r="G92" t="str">
        <f t="shared" si="46"/>
        <v>00000</v>
      </c>
      <c r="H92" t="str">
        <f>"11/29/17"</f>
        <v>11/29/17</v>
      </c>
      <c r="I92" t="str">
        <f>"D18020"</f>
        <v>D18020</v>
      </c>
      <c r="J92" s="4">
        <v>428.4</v>
      </c>
      <c r="K92" t="str">
        <f t="shared" si="47"/>
        <v>DELTA MECHANICAL CONTRACTORS LLC</v>
      </c>
      <c r="L92" t="str">
        <f>"MPA-136 FY17-18 Refrigeration Master 1 Straight Time Hourly Rate Onsite: Highest Tier"</f>
        <v>MPA-136 FY17-18 Refrigeration Master 1 Straight Time Hourly Rate Onsite: Highest Tier</v>
      </c>
      <c r="M92" t="str">
        <f t="shared" si="48"/>
        <v>ABROWN</v>
      </c>
    </row>
    <row r="93" spans="1:13" x14ac:dyDescent="0.25">
      <c r="A93" t="str">
        <f t="shared" si="40"/>
        <v>18</v>
      </c>
      <c r="B93" t="str">
        <f t="shared" si="41"/>
        <v>10</v>
      </c>
      <c r="C93" t="str">
        <f t="shared" si="42"/>
        <v>066</v>
      </c>
      <c r="D93" t="str">
        <f t="shared" si="43"/>
        <v>3005118</v>
      </c>
      <c r="E93" t="str">
        <f t="shared" si="44"/>
        <v>02</v>
      </c>
      <c r="F93" t="str">
        <f t="shared" si="45"/>
        <v>640100</v>
      </c>
      <c r="G93" t="str">
        <f t="shared" si="46"/>
        <v>00000</v>
      </c>
      <c r="H93" t="str">
        <f>"12/01/17"</f>
        <v>12/01/17</v>
      </c>
      <c r="I93" t="str">
        <f>"D18018"</f>
        <v>D18018</v>
      </c>
      <c r="J93" s="4">
        <v>3690.5</v>
      </c>
      <c r="K93" t="str">
        <f t="shared" si="47"/>
        <v>DELTA MECHANICAL CONTRACTORS LLC</v>
      </c>
      <c r="L93" t="str">
        <f>"MPA-136 FY17-18 Pipefitter Master 1 Straight Time Hourly Rate Onsite: Highest Tier"</f>
        <v>MPA-136 FY17-18 Pipefitter Master 1 Straight Time Hourly Rate Onsite: Highest Tier</v>
      </c>
      <c r="M93" t="str">
        <f t="shared" si="48"/>
        <v>ABROWN</v>
      </c>
    </row>
    <row r="94" spans="1:13" x14ac:dyDescent="0.25">
      <c r="A94" t="str">
        <f t="shared" si="40"/>
        <v>18</v>
      </c>
      <c r="B94" t="str">
        <f t="shared" si="41"/>
        <v>10</v>
      </c>
      <c r="C94" t="str">
        <f t="shared" si="42"/>
        <v>066</v>
      </c>
      <c r="D94" t="str">
        <f t="shared" si="43"/>
        <v>3005118</v>
      </c>
      <c r="E94" t="str">
        <f t="shared" si="44"/>
        <v>02</v>
      </c>
      <c r="F94" t="str">
        <f t="shared" si="45"/>
        <v>640100</v>
      </c>
      <c r="G94" t="str">
        <f t="shared" si="46"/>
        <v>00000</v>
      </c>
      <c r="H94" t="str">
        <f>"12/01/17"</f>
        <v>12/01/17</v>
      </c>
      <c r="I94" t="str">
        <f>"D18018"</f>
        <v>D18018</v>
      </c>
      <c r="J94" s="4">
        <v>1422.63</v>
      </c>
      <c r="K94" t="str">
        <f t="shared" si="47"/>
        <v>DELTA MECHANICAL CONTRACTORS LLC</v>
      </c>
      <c r="L94" t="str">
        <f>"MPA-136 FY17-18 LUMP SUM FIXED FEE PROJECTS:  INCLUDING TIME &amp; MATERIALS EMERGENCY, AND LUMP SUM FIXED FEE QUOTED PROJECTS"</f>
        <v>MPA-136 FY17-18 LUMP SUM FIXED FEE PROJECTS:  INCLUDING TIME &amp; MATERIALS EMERGENCY, AND LUMP SUM FIXED FEE QUOTED PROJECTS</v>
      </c>
      <c r="M94" t="str">
        <f t="shared" si="48"/>
        <v>ABROWN</v>
      </c>
    </row>
    <row r="95" spans="1:13" x14ac:dyDescent="0.25">
      <c r="A95" t="str">
        <f t="shared" si="40"/>
        <v>18</v>
      </c>
      <c r="B95" t="str">
        <f t="shared" si="41"/>
        <v>10</v>
      </c>
      <c r="C95" t="str">
        <f t="shared" si="42"/>
        <v>066</v>
      </c>
      <c r="D95" t="str">
        <f t="shared" si="43"/>
        <v>3005118</v>
      </c>
      <c r="E95" t="str">
        <f t="shared" si="44"/>
        <v>02</v>
      </c>
      <c r="F95" t="str">
        <f t="shared" si="45"/>
        <v>640100</v>
      </c>
      <c r="G95" t="str">
        <f t="shared" si="46"/>
        <v>00000</v>
      </c>
      <c r="H95" t="str">
        <f>"12/01/17"</f>
        <v>12/01/17</v>
      </c>
      <c r="I95" t="str">
        <f>"D18018"</f>
        <v>D18018</v>
      </c>
      <c r="J95" s="4">
        <v>2623.5</v>
      </c>
      <c r="K95" t="str">
        <f t="shared" si="47"/>
        <v>DELTA MECHANICAL CONTRACTORS LLC</v>
      </c>
      <c r="L95" t="str">
        <f>"MPA-136 FY17-18 Apprentice Pipefitter Straight Time Hourly Rate Onsite: Highest Tier"</f>
        <v>MPA-136 FY17-18 Apprentice Pipefitter Straight Time Hourly Rate Onsite: Highest Tier</v>
      </c>
      <c r="M95" t="str">
        <f t="shared" si="48"/>
        <v>ABROWN</v>
      </c>
    </row>
    <row r="96" spans="1:13" x14ac:dyDescent="0.25">
      <c r="A96" t="str">
        <f t="shared" si="40"/>
        <v>18</v>
      </c>
      <c r="B96" t="str">
        <f t="shared" si="41"/>
        <v>10</v>
      </c>
      <c r="C96" t="str">
        <f t="shared" si="42"/>
        <v>066</v>
      </c>
      <c r="D96" t="str">
        <f t="shared" si="43"/>
        <v>3005118</v>
      </c>
      <c r="E96" t="str">
        <f t="shared" si="44"/>
        <v>02</v>
      </c>
      <c r="F96" t="str">
        <f t="shared" si="45"/>
        <v>640100</v>
      </c>
      <c r="G96" t="str">
        <f t="shared" si="46"/>
        <v>00000</v>
      </c>
      <c r="H96" t="str">
        <f>"01/19/18"</f>
        <v>01/19/18</v>
      </c>
      <c r="I96" t="str">
        <f>"D18038"</f>
        <v>D18038</v>
      </c>
      <c r="J96" s="4">
        <v>9890</v>
      </c>
      <c r="K96" t="str">
        <f t="shared" si="47"/>
        <v>DELTA MECHANICAL CONTRACTORS LLC</v>
      </c>
      <c r="L96" t="str">
        <f>"MPA-136 FY17-18 LUMP SUM FIXED FEE PROJECTS:  INCLUDING TIME &amp; MATERIALS EMERGENCY, AND LUMP SUM FIXED FEE QUOTED PROJECTS"</f>
        <v>MPA-136 FY17-18 LUMP SUM FIXED FEE PROJECTS:  INCLUDING TIME &amp; MATERIALS EMERGENCY, AND LUMP SUM FIXED FEE QUOTED PROJECTS</v>
      </c>
      <c r="M96" t="str">
        <f t="shared" si="48"/>
        <v>ABROWN</v>
      </c>
    </row>
    <row r="97" spans="1:13" x14ac:dyDescent="0.25">
      <c r="I97"/>
      <c r="J97" s="6">
        <f>SUM(J86:J96)</f>
        <v>30518.210000000003</v>
      </c>
    </row>
    <row r="98" spans="1:13" x14ac:dyDescent="0.25">
      <c r="I98"/>
      <c r="J98" s="3"/>
    </row>
    <row r="99" spans="1:13" x14ac:dyDescent="0.25">
      <c r="A99" t="str">
        <f t="shared" ref="A99:A104" si="49">"18"</f>
        <v>18</v>
      </c>
      <c r="B99" t="str">
        <f t="shared" ref="B99:B104" si="50">"10"</f>
        <v>10</v>
      </c>
      <c r="C99" t="str">
        <f t="shared" ref="C99:C104" si="51">"066"</f>
        <v>066</v>
      </c>
      <c r="D99" t="str">
        <f t="shared" ref="D99:D104" si="52">"3005118"</f>
        <v>3005118</v>
      </c>
      <c r="E99" t="str">
        <f t="shared" ref="E99:E104" si="53">"02"</f>
        <v>02</v>
      </c>
      <c r="F99" t="str">
        <f t="shared" ref="F99:F104" si="54">"640100"</f>
        <v>640100</v>
      </c>
      <c r="G99" t="str">
        <f t="shared" ref="G99:G104" si="55">"00000"</f>
        <v>00000</v>
      </c>
      <c r="H99" t="str">
        <f>"11/10/17"</f>
        <v>11/10/17</v>
      </c>
      <c r="I99" t="str">
        <f>"82457"</f>
        <v>82457</v>
      </c>
      <c r="J99" s="3">
        <v>85</v>
      </c>
      <c r="K99" t="str">
        <f t="shared" ref="K99:K104" si="56">"LOCK SHOP, THE"</f>
        <v>LOCK SHOP, THE</v>
      </c>
      <c r="L99" t="str">
        <f>"MPA-331 FY-16 - FY-18: DISCOUNT FOR PARTS OFF MANUFACTUERS LIST PRICE, 15%"</f>
        <v>MPA-331 FY-16 - FY-18: DISCOUNT FOR PARTS OFF MANUFACTUERS LIST PRICE, 15%</v>
      </c>
      <c r="M99" t="str">
        <f t="shared" ref="M99:M104" si="57">"CAROLMAR"</f>
        <v>CAROLMAR</v>
      </c>
    </row>
    <row r="100" spans="1:13" x14ac:dyDescent="0.25">
      <c r="A100" t="str">
        <f t="shared" si="49"/>
        <v>18</v>
      </c>
      <c r="B100" t="str">
        <f t="shared" si="50"/>
        <v>10</v>
      </c>
      <c r="C100" t="str">
        <f t="shared" si="51"/>
        <v>066</v>
      </c>
      <c r="D100" t="str">
        <f t="shared" si="52"/>
        <v>3005118</v>
      </c>
      <c r="E100" t="str">
        <f t="shared" si="53"/>
        <v>02</v>
      </c>
      <c r="F100" t="str">
        <f t="shared" si="54"/>
        <v>640100</v>
      </c>
      <c r="G100" t="str">
        <f t="shared" si="55"/>
        <v>00000</v>
      </c>
      <c r="H100" t="str">
        <f>"11/10/17"</f>
        <v>11/10/17</v>
      </c>
      <c r="I100" t="str">
        <f>"82457"</f>
        <v>82457</v>
      </c>
      <c r="J100" s="3">
        <v>152</v>
      </c>
      <c r="K100" t="str">
        <f t="shared" si="56"/>
        <v>LOCK SHOP, THE</v>
      </c>
      <c r="L100" t="str">
        <f>"MPA-331 FY-18: REGULAR HOURLY RATE FOR LOCKSMITH ONLY (NO HELPER) ON SITE"</f>
        <v>MPA-331 FY-18: REGULAR HOURLY RATE FOR LOCKSMITH ONLY (NO HELPER) ON SITE</v>
      </c>
      <c r="M100" t="str">
        <f t="shared" si="57"/>
        <v>CAROLMAR</v>
      </c>
    </row>
    <row r="101" spans="1:13" x14ac:dyDescent="0.25">
      <c r="A101" t="str">
        <f t="shared" si="49"/>
        <v>18</v>
      </c>
      <c r="B101" t="str">
        <f t="shared" si="50"/>
        <v>10</v>
      </c>
      <c r="C101" t="str">
        <f t="shared" si="51"/>
        <v>066</v>
      </c>
      <c r="D101" t="str">
        <f t="shared" si="52"/>
        <v>3005118</v>
      </c>
      <c r="E101" t="str">
        <f t="shared" si="53"/>
        <v>02</v>
      </c>
      <c r="F101" t="str">
        <f t="shared" si="54"/>
        <v>640100</v>
      </c>
      <c r="G101" t="str">
        <f t="shared" si="55"/>
        <v>00000</v>
      </c>
      <c r="H101" t="str">
        <f>"11/29/17"</f>
        <v>11/29/17</v>
      </c>
      <c r="I101" t="str">
        <f>"82534"</f>
        <v>82534</v>
      </c>
      <c r="J101" s="3">
        <v>28.05</v>
      </c>
      <c r="K101" t="str">
        <f t="shared" si="56"/>
        <v>LOCK SHOP, THE</v>
      </c>
      <c r="L101" t="str">
        <f>"MPA-331 FY-16 - FY-18: DISCOUNT FOR PARTS OFF MANUFACTUERS LIST PRICE, 15%"</f>
        <v>MPA-331 FY-16 - FY-18: DISCOUNT FOR PARTS OFF MANUFACTUERS LIST PRICE, 15%</v>
      </c>
      <c r="M101" t="str">
        <f t="shared" si="57"/>
        <v>CAROLMAR</v>
      </c>
    </row>
    <row r="102" spans="1:13" x14ac:dyDescent="0.25">
      <c r="A102" t="str">
        <f t="shared" si="49"/>
        <v>18</v>
      </c>
      <c r="B102" t="str">
        <f t="shared" si="50"/>
        <v>10</v>
      </c>
      <c r="C102" t="str">
        <f t="shared" si="51"/>
        <v>066</v>
      </c>
      <c r="D102" t="str">
        <f t="shared" si="52"/>
        <v>3005118</v>
      </c>
      <c r="E102" t="str">
        <f t="shared" si="53"/>
        <v>02</v>
      </c>
      <c r="F102" t="str">
        <f t="shared" si="54"/>
        <v>640100</v>
      </c>
      <c r="G102" t="str">
        <f t="shared" si="55"/>
        <v>00000</v>
      </c>
      <c r="H102" t="str">
        <f>"11/29/17"</f>
        <v>11/29/17</v>
      </c>
      <c r="I102" t="str">
        <f>"82534"</f>
        <v>82534</v>
      </c>
      <c r="J102" s="3">
        <v>76</v>
      </c>
      <c r="K102" t="str">
        <f t="shared" si="56"/>
        <v>LOCK SHOP, THE</v>
      </c>
      <c r="L102" t="str">
        <f>"MPA-331 FY-18: REGULAR HOURLY RATE FOR LOCKSMITH ONLY (NO HELPER) ON SITE"</f>
        <v>MPA-331 FY-18: REGULAR HOURLY RATE FOR LOCKSMITH ONLY (NO HELPER) ON SITE</v>
      </c>
      <c r="M102" t="str">
        <f t="shared" si="57"/>
        <v>CAROLMAR</v>
      </c>
    </row>
    <row r="103" spans="1:13" x14ac:dyDescent="0.25">
      <c r="A103" t="str">
        <f t="shared" si="49"/>
        <v>18</v>
      </c>
      <c r="B103" t="str">
        <f t="shared" si="50"/>
        <v>10</v>
      </c>
      <c r="C103" t="str">
        <f t="shared" si="51"/>
        <v>066</v>
      </c>
      <c r="D103" t="str">
        <f t="shared" si="52"/>
        <v>3005118</v>
      </c>
      <c r="E103" t="str">
        <f t="shared" si="53"/>
        <v>02</v>
      </c>
      <c r="F103" t="str">
        <f t="shared" si="54"/>
        <v>640100</v>
      </c>
      <c r="G103" t="str">
        <f t="shared" si="55"/>
        <v>00000</v>
      </c>
      <c r="H103" t="str">
        <f>"01/23/18"</f>
        <v>01/23/18</v>
      </c>
      <c r="I103" t="str">
        <f>"83039"</f>
        <v>83039</v>
      </c>
      <c r="J103" s="3">
        <v>228</v>
      </c>
      <c r="K103" t="str">
        <f t="shared" si="56"/>
        <v>LOCK SHOP, THE</v>
      </c>
      <c r="L103" t="str">
        <f>"MPA-331 FY-18: REGULAR HOURLY RATE FOR LOCKSMITH ONLY (NO HELPER) ON SITE"</f>
        <v>MPA-331 FY-18: REGULAR HOURLY RATE FOR LOCKSMITH ONLY (NO HELPER) ON SITE</v>
      </c>
      <c r="M103" t="str">
        <f t="shared" si="57"/>
        <v>CAROLMAR</v>
      </c>
    </row>
    <row r="104" spans="1:13" x14ac:dyDescent="0.25">
      <c r="A104" t="str">
        <f t="shared" si="49"/>
        <v>18</v>
      </c>
      <c r="B104" t="str">
        <f t="shared" si="50"/>
        <v>10</v>
      </c>
      <c r="C104" t="str">
        <f t="shared" si="51"/>
        <v>066</v>
      </c>
      <c r="D104" t="str">
        <f t="shared" si="52"/>
        <v>3005118</v>
      </c>
      <c r="E104" t="str">
        <f t="shared" si="53"/>
        <v>02</v>
      </c>
      <c r="F104" t="str">
        <f t="shared" si="54"/>
        <v>640100</v>
      </c>
      <c r="G104" t="str">
        <f t="shared" si="55"/>
        <v>00000</v>
      </c>
      <c r="H104" t="str">
        <f>"01/23/18"</f>
        <v>01/23/18</v>
      </c>
      <c r="I104" t="str">
        <f>"83039"</f>
        <v>83039</v>
      </c>
      <c r="J104" s="3">
        <v>699.75</v>
      </c>
      <c r="K104" t="str">
        <f t="shared" si="56"/>
        <v>LOCK SHOP, THE</v>
      </c>
      <c r="L104" t="str">
        <f>"MPA-331 FY-16 - FY-18: DISCOUNT FOR PARTS OFF MANUFACTUERS LIST PRICE, 15%"</f>
        <v>MPA-331 FY-16 - FY-18: DISCOUNT FOR PARTS OFF MANUFACTUERS LIST PRICE, 15%</v>
      </c>
      <c r="M104" t="str">
        <f t="shared" si="57"/>
        <v>CAROLMAR</v>
      </c>
    </row>
    <row r="105" spans="1:13" x14ac:dyDescent="0.25">
      <c r="I105"/>
      <c r="J105" s="6">
        <f>SUM(J99:J104)</f>
        <v>1268.8</v>
      </c>
    </row>
    <row r="106" spans="1:13" x14ac:dyDescent="0.25">
      <c r="I106"/>
      <c r="J106" s="3"/>
    </row>
    <row r="107" spans="1:13" x14ac:dyDescent="0.25">
      <c r="A107" t="str">
        <f>"18"</f>
        <v>18</v>
      </c>
      <c r="B107" t="str">
        <f>"10"</f>
        <v>10</v>
      </c>
      <c r="C107" t="str">
        <f>"066"</f>
        <v>066</v>
      </c>
      <c r="D107" t="str">
        <f>"3005118"</f>
        <v>3005118</v>
      </c>
      <c r="E107" t="str">
        <f>"02"</f>
        <v>02</v>
      </c>
      <c r="F107" t="str">
        <f>"640100"</f>
        <v>640100</v>
      </c>
      <c r="G107" t="str">
        <f>"00000"</f>
        <v>00000</v>
      </c>
      <c r="H107" t="str">
        <f>"09/22/17"</f>
        <v>09/22/17</v>
      </c>
      <c r="I107" t="str">
        <f>"17-2490"</f>
        <v>17-2490</v>
      </c>
      <c r="J107" s="6">
        <v>500</v>
      </c>
      <c r="K107" t="str">
        <f>"R P O'CONNELL INC"</f>
        <v>R P O'CONNELL INC</v>
      </c>
      <c r="L107" t="str">
        <f>"HVAC control work"</f>
        <v>HVAC control work</v>
      </c>
      <c r="M107" t="str">
        <f>"SVALLANT"</f>
        <v>SVALLANT</v>
      </c>
    </row>
    <row r="108" spans="1:13" x14ac:dyDescent="0.25">
      <c r="I108"/>
      <c r="J108" s="3"/>
    </row>
    <row r="109" spans="1:13" x14ac:dyDescent="0.25">
      <c r="A109" t="str">
        <f>"18"</f>
        <v>18</v>
      </c>
      <c r="B109" t="str">
        <f>"10"</f>
        <v>10</v>
      </c>
      <c r="C109" t="str">
        <f>"066"</f>
        <v>066</v>
      </c>
      <c r="D109" t="str">
        <f>"3005118"</f>
        <v>3005118</v>
      </c>
      <c r="E109" t="str">
        <f>"02"</f>
        <v>02</v>
      </c>
      <c r="F109" t="str">
        <f>"640100"</f>
        <v>640100</v>
      </c>
      <c r="G109" t="str">
        <f>"00000"</f>
        <v>00000</v>
      </c>
      <c r="H109" t="str">
        <f>"12/22/17"</f>
        <v>12/22/17</v>
      </c>
      <c r="I109" t="str">
        <f>"1866ACB0002"</f>
        <v>1866ACB0002</v>
      </c>
      <c r="J109" s="6">
        <v>4850</v>
      </c>
      <c r="K109" t="str">
        <f>"RISTAN SYSTEMS INC"</f>
        <v>RISTAN SYSTEMS INC</v>
      </c>
      <c r="L109" t="str">
        <f>"security gates maintenance and repairs"</f>
        <v>security gates maintenance and repairs</v>
      </c>
      <c r="M109" t="str">
        <f>"ABROWN"</f>
        <v>ABROWN</v>
      </c>
    </row>
    <row r="110" spans="1:13" x14ac:dyDescent="0.25">
      <c r="I110"/>
      <c r="J110" s="3"/>
    </row>
    <row r="111" spans="1:13" x14ac:dyDescent="0.25">
      <c r="A111" t="str">
        <f>"18"</f>
        <v>18</v>
      </c>
      <c r="B111" t="str">
        <f>"10"</f>
        <v>10</v>
      </c>
      <c r="C111" t="str">
        <f>"066"</f>
        <v>066</v>
      </c>
      <c r="D111" t="str">
        <f>"3005118"</f>
        <v>3005118</v>
      </c>
      <c r="E111" t="str">
        <f>"02"</f>
        <v>02</v>
      </c>
      <c r="F111" t="str">
        <f>"640100"</f>
        <v>640100</v>
      </c>
      <c r="G111" t="str">
        <f>"00000"</f>
        <v>00000</v>
      </c>
      <c r="H111" t="str">
        <f>"08/31/17"</f>
        <v>08/31/17</v>
      </c>
      <c r="I111" t="str">
        <f>"56530D"</f>
        <v>56530D</v>
      </c>
      <c r="J111" s="3">
        <v>60</v>
      </c>
      <c r="K111" t="str">
        <f>"SILVA ENVIRONMENTAL &amp; ASSOCIATES INC"</f>
        <v>SILVA ENVIRONMENTAL &amp; ASSOCIATES INC</v>
      </c>
      <c r="L111" t="str">
        <f>"MPA-194  FY17-18 PROJECT MANAGER - ABATEMENT PROJECT ELEMENTS"</f>
        <v>MPA-194  FY17-18 PROJECT MANAGER - ABATEMENT PROJECT ELEMENTS</v>
      </c>
      <c r="M111" t="str">
        <f>"SVALLANT"</f>
        <v>SVALLANT</v>
      </c>
    </row>
    <row r="112" spans="1:13" x14ac:dyDescent="0.25">
      <c r="A112" t="str">
        <f>"18"</f>
        <v>18</v>
      </c>
      <c r="B112" t="str">
        <f>"10"</f>
        <v>10</v>
      </c>
      <c r="C112" t="str">
        <f>"066"</f>
        <v>066</v>
      </c>
      <c r="D112" t="str">
        <f>"3005118"</f>
        <v>3005118</v>
      </c>
      <c r="E112" t="str">
        <f>"02"</f>
        <v>02</v>
      </c>
      <c r="F112" t="str">
        <f>"640100"</f>
        <v>640100</v>
      </c>
      <c r="G112" t="str">
        <f>"00000"</f>
        <v>00000</v>
      </c>
      <c r="H112" t="str">
        <f>"08/31/17"</f>
        <v>08/31/17</v>
      </c>
      <c r="I112" t="str">
        <f>"56530D"</f>
        <v>56530D</v>
      </c>
      <c r="J112" s="7">
        <v>12</v>
      </c>
      <c r="K112" t="str">
        <f>"SILVA ENVIRONMENTAL &amp; ASSOCIATES INC"</f>
        <v>SILVA ENVIRONMENTAL &amp; ASSOCIATES INC</v>
      </c>
      <c r="L112" t="str">
        <f>"MPA-194  FY17-18 BULK SAMPLES (PLM) 24 HOUR TURNAROUND - ANALYTICAL SERVICES"</f>
        <v>MPA-194  FY17-18 BULK SAMPLES (PLM) 24 HOUR TURNAROUND - ANALYTICAL SERVICES</v>
      </c>
      <c r="M112" t="str">
        <f>"SVALLANT"</f>
        <v>SVALLANT</v>
      </c>
    </row>
    <row r="113" spans="1:13" x14ac:dyDescent="0.25">
      <c r="I113"/>
      <c r="J113" s="6">
        <f>SUM(J111:J112)</f>
        <v>72</v>
      </c>
    </row>
    <row r="114" spans="1:13" x14ac:dyDescent="0.25">
      <c r="I114"/>
      <c r="J114" s="3"/>
    </row>
    <row r="115" spans="1:13" x14ac:dyDescent="0.25">
      <c r="A115" t="str">
        <f>"18"</f>
        <v>18</v>
      </c>
      <c r="B115" t="str">
        <f>"10"</f>
        <v>10</v>
      </c>
      <c r="C115" t="str">
        <f>"066"</f>
        <v>066</v>
      </c>
      <c r="D115" t="str">
        <f>"3005118"</f>
        <v>3005118</v>
      </c>
      <c r="E115" t="str">
        <f>"02"</f>
        <v>02</v>
      </c>
      <c r="F115" t="str">
        <f>"640100"</f>
        <v>640100</v>
      </c>
      <c r="G115" t="str">
        <f>"00000"</f>
        <v>00000</v>
      </c>
      <c r="H115" t="str">
        <f>"09/19/17"</f>
        <v>09/19/17</v>
      </c>
      <c r="I115" t="str">
        <f>"368067771"</f>
        <v>368067771</v>
      </c>
      <c r="J115" s="3">
        <v>32</v>
      </c>
      <c r="K115" t="str">
        <f>"TERMINIX INTERNATIONAL"</f>
        <v>TERMINIX INTERNATIONAL</v>
      </c>
      <c r="L115" t="str">
        <f>"PEST CONTROL SERVICES FOR 12 MONTHS-180 SOUTH MAIN ST"</f>
        <v>PEST CONTROL SERVICES FOR 12 MONTHS-180 SOUTH MAIN ST</v>
      </c>
      <c r="M115" t="str">
        <f>"MFUSCO"</f>
        <v>MFUSCO</v>
      </c>
    </row>
    <row r="116" spans="1:13" x14ac:dyDescent="0.25">
      <c r="A116" t="str">
        <f>"18"</f>
        <v>18</v>
      </c>
      <c r="B116" t="str">
        <f>"10"</f>
        <v>10</v>
      </c>
      <c r="C116" t="str">
        <f>"066"</f>
        <v>066</v>
      </c>
      <c r="D116" t="str">
        <f>"3005118"</f>
        <v>3005118</v>
      </c>
      <c r="E116" t="str">
        <f>"02"</f>
        <v>02</v>
      </c>
      <c r="F116" t="str">
        <f>"640100"</f>
        <v>640100</v>
      </c>
      <c r="G116" t="str">
        <f>"00000"</f>
        <v>00000</v>
      </c>
      <c r="H116" t="str">
        <f>"10/13/17"</f>
        <v>10/13/17</v>
      </c>
      <c r="I116" t="str">
        <f>"369014137"</f>
        <v>369014137</v>
      </c>
      <c r="J116" s="3">
        <v>32</v>
      </c>
      <c r="K116" t="str">
        <f>"TERMINIX INTERNATIONAL"</f>
        <v>TERMINIX INTERNATIONAL</v>
      </c>
      <c r="L116" t="str">
        <f>"PEST CONTROL SERVICES FOR 12 MONTHS-180 SOUTH MAIN ST"</f>
        <v>PEST CONTROL SERVICES FOR 12 MONTHS-180 SOUTH MAIN ST</v>
      </c>
      <c r="M116" t="str">
        <f>"MFUSCO"</f>
        <v>MFUSCO</v>
      </c>
    </row>
    <row r="117" spans="1:13" x14ac:dyDescent="0.25">
      <c r="A117" t="str">
        <f>"18"</f>
        <v>18</v>
      </c>
      <c r="B117" t="str">
        <f>"10"</f>
        <v>10</v>
      </c>
      <c r="C117" t="str">
        <f>"066"</f>
        <v>066</v>
      </c>
      <c r="D117" t="str">
        <f>"3005118"</f>
        <v>3005118</v>
      </c>
      <c r="E117" t="str">
        <f>"02"</f>
        <v>02</v>
      </c>
      <c r="F117" t="str">
        <f>"640100"</f>
        <v>640100</v>
      </c>
      <c r="G117" t="str">
        <f>"00000"</f>
        <v>00000</v>
      </c>
      <c r="H117" t="str">
        <f>"12/05/17"</f>
        <v>12/05/17</v>
      </c>
      <c r="I117" t="str">
        <f>"369818840"</f>
        <v>369818840</v>
      </c>
      <c r="J117" s="3">
        <v>32</v>
      </c>
      <c r="K117" t="str">
        <f>"TERMINIX INTERNATIONAL"</f>
        <v>TERMINIX INTERNATIONAL</v>
      </c>
      <c r="L117" t="str">
        <f>"PEST CONTROL SERVICES FOR 12 MONTHS-180 SOUTH MAIN ST"</f>
        <v>PEST CONTROL SERVICES FOR 12 MONTHS-180 SOUTH MAIN ST</v>
      </c>
      <c r="M117" t="str">
        <f>"MFUSCO"</f>
        <v>MFUSCO</v>
      </c>
    </row>
    <row r="118" spans="1:13" x14ac:dyDescent="0.25">
      <c r="A118" t="str">
        <f>"18"</f>
        <v>18</v>
      </c>
      <c r="B118" t="str">
        <f>"10"</f>
        <v>10</v>
      </c>
      <c r="C118" t="str">
        <f>"066"</f>
        <v>066</v>
      </c>
      <c r="D118" t="str">
        <f>"3005118"</f>
        <v>3005118</v>
      </c>
      <c r="E118" t="str">
        <f>"02"</f>
        <v>02</v>
      </c>
      <c r="F118" t="str">
        <f>"640100"</f>
        <v>640100</v>
      </c>
      <c r="G118" t="str">
        <f>"00000"</f>
        <v>00000</v>
      </c>
      <c r="H118" t="str">
        <f>"01/05/18"</f>
        <v>01/05/18</v>
      </c>
      <c r="I118" t="str">
        <f>"370704195"</f>
        <v>370704195</v>
      </c>
      <c r="J118" s="3">
        <v>32</v>
      </c>
      <c r="K118" t="str">
        <f>"TERMINIX INTERNATIONAL"</f>
        <v>TERMINIX INTERNATIONAL</v>
      </c>
      <c r="L118" t="str">
        <f>"PEST CONTROL SERVICES FOR 12 MONTHS-180 SOUTH MAIN ST"</f>
        <v>PEST CONTROL SERVICES FOR 12 MONTHS-180 SOUTH MAIN ST</v>
      </c>
      <c r="M118" t="str">
        <f>"MFUSCO"</f>
        <v>MFUSCO</v>
      </c>
    </row>
    <row r="119" spans="1:13" x14ac:dyDescent="0.25">
      <c r="A119" t="str">
        <f>"18"</f>
        <v>18</v>
      </c>
      <c r="B119" t="str">
        <f>"10"</f>
        <v>10</v>
      </c>
      <c r="C119" t="str">
        <f>"066"</f>
        <v>066</v>
      </c>
      <c r="D119" t="str">
        <f>"3005118"</f>
        <v>3005118</v>
      </c>
      <c r="E119" t="str">
        <f>"02"</f>
        <v>02</v>
      </c>
      <c r="F119" t="str">
        <f>"640100"</f>
        <v>640100</v>
      </c>
      <c r="G119" t="str">
        <f>"00000"</f>
        <v>00000</v>
      </c>
      <c r="H119" t="str">
        <f>"01/23/18"</f>
        <v>01/23/18</v>
      </c>
      <c r="I119" t="str">
        <f>"371486751"</f>
        <v>371486751</v>
      </c>
      <c r="J119" s="3">
        <v>32</v>
      </c>
      <c r="K119" t="str">
        <f>"TERMINIX INTERNATIONAL"</f>
        <v>TERMINIX INTERNATIONAL</v>
      </c>
      <c r="L119" t="str">
        <f>"PEST CONTROL SERVICES FOR 12 MONTHS-180 SOUTH MAIN ST"</f>
        <v>PEST CONTROL SERVICES FOR 12 MONTHS-180 SOUTH MAIN ST</v>
      </c>
      <c r="M119" t="str">
        <f>"MFUSCO"</f>
        <v>MFUSCO</v>
      </c>
    </row>
    <row r="120" spans="1:13" x14ac:dyDescent="0.25">
      <c r="I120"/>
      <c r="J120" s="6">
        <f>SUM(J115:J119)</f>
        <v>160</v>
      </c>
    </row>
    <row r="121" spans="1:13" x14ac:dyDescent="0.25">
      <c r="I121"/>
      <c r="J121" s="4"/>
    </row>
    <row r="122" spans="1:13" x14ac:dyDescent="0.25">
      <c r="A122" t="str">
        <f>"18"</f>
        <v>18</v>
      </c>
      <c r="B122" t="str">
        <f>"10"</f>
        <v>10</v>
      </c>
      <c r="C122" t="str">
        <f>"066"</f>
        <v>066</v>
      </c>
      <c r="D122" t="str">
        <f>"3005118"</f>
        <v>3005118</v>
      </c>
      <c r="E122" t="str">
        <f>"02"</f>
        <v>02</v>
      </c>
      <c r="F122" t="str">
        <f>"641200"</f>
        <v>641200</v>
      </c>
      <c r="G122" t="str">
        <f>"00000"</f>
        <v>00000</v>
      </c>
      <c r="H122" t="str">
        <f>"09/08/17"</f>
        <v>09/08/17</v>
      </c>
      <c r="I122" t="str">
        <f>"70342A"</f>
        <v>70342A</v>
      </c>
      <c r="J122" s="4">
        <v>21638.58</v>
      </c>
      <c r="K122" t="str">
        <f>"ATRION NETWORKING CORPORATION"</f>
        <v>ATRION NETWORKING CORPORATION</v>
      </c>
      <c r="L122" t="str">
        <f>"Maxtime Support for effective dates 7/1/17-6/30/18. Equipment support for Cisco router-switch and Fortigate firewall. Supported devices can be found on asset sheet included in proposal #1067"</f>
        <v>Maxtime Support for effective dates 7/1/17-6/30/18. Equipment support for Cisco router-switch and Fortigate firewall. Supported devices can be found on asset sheet included in proposal #1067</v>
      </c>
      <c r="M122" t="str">
        <f>"SVALLANT"</f>
        <v>SVALLANT</v>
      </c>
    </row>
    <row r="123" spans="1:13" x14ac:dyDescent="0.25">
      <c r="A123" t="str">
        <f>"18"</f>
        <v>18</v>
      </c>
      <c r="B123" t="str">
        <f>"10"</f>
        <v>10</v>
      </c>
      <c r="C123" t="str">
        <f>"066"</f>
        <v>066</v>
      </c>
      <c r="D123" t="str">
        <f>"3005118"</f>
        <v>3005118</v>
      </c>
      <c r="E123" t="str">
        <f>"02"</f>
        <v>02</v>
      </c>
      <c r="F123" t="str">
        <f>"641200"</f>
        <v>641200</v>
      </c>
      <c r="G123" t="str">
        <f>"00000"</f>
        <v>00000</v>
      </c>
      <c r="H123" t="str">
        <f>"09/19/17"</f>
        <v>09/19/17</v>
      </c>
      <c r="I123" t="str">
        <f>"0087000-IN"</f>
        <v>0087000-IN</v>
      </c>
      <c r="J123" s="4">
        <v>806.4</v>
      </c>
      <c r="K123" t="str">
        <f>"ATRION NETWORKING CORPORATION"</f>
        <v>ATRION NETWORKING CORPORATION</v>
      </c>
      <c r="L123" t="str">
        <f>"Manufacturer Direct Support - 1 Year: SNTC-8X5XNBD Catalyst 2960-X 48 GigE PoE 740W, 2 x 10G SFP+, LAN Base (CON-SNT-WSC296XL)"</f>
        <v>Manufacturer Direct Support - 1 Year: SNTC-8X5XNBD Catalyst 2960-X 48 GigE PoE 740W, 2 x 10G SFP+, LAN Base (CON-SNT-WSC296XL)</v>
      </c>
      <c r="M123" t="str">
        <f>"SVALLANT"</f>
        <v>SVALLANT</v>
      </c>
    </row>
    <row r="124" spans="1:13" x14ac:dyDescent="0.25">
      <c r="A124" t="str">
        <f>"18"</f>
        <v>18</v>
      </c>
      <c r="B124" t="str">
        <f>"10"</f>
        <v>10</v>
      </c>
      <c r="C124" t="str">
        <f>"066"</f>
        <v>066</v>
      </c>
      <c r="D124" t="str">
        <f>"3005118"</f>
        <v>3005118</v>
      </c>
      <c r="E124" t="str">
        <f>"02"</f>
        <v>02</v>
      </c>
      <c r="F124" t="str">
        <f>"641200"</f>
        <v>641200</v>
      </c>
      <c r="G124" t="str">
        <f>"00000"</f>
        <v>00000</v>
      </c>
      <c r="H124" t="str">
        <f>"09/22/17"</f>
        <v>09/22/17</v>
      </c>
      <c r="I124" t="str">
        <f>"0088434-IN"</f>
        <v>0088434-IN</v>
      </c>
      <c r="J124" s="4">
        <v>7914</v>
      </c>
      <c r="K124" t="str">
        <f>"ATRION NETWORKING CORPORATION"</f>
        <v>ATRION NETWORKING CORPORATION</v>
      </c>
      <c r="L124" t="str">
        <f>"2017-18 Additional APC Support Q#106790-OP27253"</f>
        <v>2017-18 Additional APC Support Q#106790-OP27253</v>
      </c>
      <c r="M124" t="str">
        <f>"SVALLANT"</f>
        <v>SVALLANT</v>
      </c>
    </row>
    <row r="125" spans="1:13" x14ac:dyDescent="0.25">
      <c r="I125"/>
      <c r="J125" s="6">
        <f>SUM(J122:J124)</f>
        <v>30358.980000000003</v>
      </c>
    </row>
    <row r="126" spans="1:13" x14ac:dyDescent="0.25">
      <c r="I126"/>
      <c r="J126" s="3"/>
    </row>
    <row r="127" spans="1:13" x14ac:dyDescent="0.25">
      <c r="A127" t="str">
        <f t="shared" ref="A127:A135" si="58">"18"</f>
        <v>18</v>
      </c>
      <c r="B127" t="str">
        <f t="shared" ref="B127:B135" si="59">"10"</f>
        <v>10</v>
      </c>
      <c r="C127" t="str">
        <f t="shared" ref="C127:C135" si="60">"066"</f>
        <v>066</v>
      </c>
      <c r="D127" t="str">
        <f t="shared" ref="D127:D135" si="61">"3005118"</f>
        <v>3005118</v>
      </c>
      <c r="E127" t="str">
        <f t="shared" ref="E127:E135" si="62">"02"</f>
        <v>02</v>
      </c>
      <c r="F127" t="str">
        <f t="shared" ref="F127:F135" si="63">"641200"</f>
        <v>641200</v>
      </c>
      <c r="G127" t="str">
        <f t="shared" ref="G127:G135" si="64">"00000"</f>
        <v>00000</v>
      </c>
      <c r="H127" t="str">
        <f>"01/26/18"</f>
        <v>01/26/18</v>
      </c>
      <c r="I127" t="str">
        <f>"289892"</f>
        <v>289892</v>
      </c>
      <c r="J127" s="3">
        <v>2990</v>
      </c>
      <c r="K127" t="str">
        <f t="shared" ref="K127:K135" si="65">"NAVISITE INC"</f>
        <v>NAVISITE INC</v>
      </c>
      <c r="L127" t="str">
        <f>"APA-13851  FY18  ACT-5TB-MDL MONTHLY iCLOUD STORAGE 12/1/16-6/30/17"</f>
        <v>APA-13851  FY18  ACT-5TB-MDL MONTHLY iCLOUD STORAGE 12/1/16-6/30/17</v>
      </c>
      <c r="M127" t="str">
        <f t="shared" ref="M127:M135" si="66">"SVALLANT"</f>
        <v>SVALLANT</v>
      </c>
    </row>
    <row r="128" spans="1:13" x14ac:dyDescent="0.25">
      <c r="A128" t="str">
        <f t="shared" si="58"/>
        <v>18</v>
      </c>
      <c r="B128" t="str">
        <f t="shared" si="59"/>
        <v>10</v>
      </c>
      <c r="C128" t="str">
        <f t="shared" si="60"/>
        <v>066</v>
      </c>
      <c r="D128" t="str">
        <f t="shared" si="61"/>
        <v>3005118</v>
      </c>
      <c r="E128" t="str">
        <f t="shared" si="62"/>
        <v>02</v>
      </c>
      <c r="F128" t="str">
        <f t="shared" si="63"/>
        <v>641200</v>
      </c>
      <c r="G128" t="str">
        <f t="shared" si="64"/>
        <v>00000</v>
      </c>
      <c r="H128" t="str">
        <f>"01/26/18"</f>
        <v>01/26/18</v>
      </c>
      <c r="I128" t="str">
        <f>"291175"</f>
        <v>291175</v>
      </c>
      <c r="J128" s="3">
        <v>2990</v>
      </c>
      <c r="K128" t="str">
        <f t="shared" si="65"/>
        <v>NAVISITE INC</v>
      </c>
      <c r="L128" t="str">
        <f>"APA-13851  FY18  ACT-5TB-MDL MONTHLY iCLOUD STORAGE 12/1/16-6/30/17"</f>
        <v>APA-13851  FY18  ACT-5TB-MDL MONTHLY iCLOUD STORAGE 12/1/16-6/30/17</v>
      </c>
      <c r="M128" t="str">
        <f t="shared" si="66"/>
        <v>SVALLANT</v>
      </c>
    </row>
    <row r="129" spans="1:13" x14ac:dyDescent="0.25">
      <c r="A129" t="str">
        <f t="shared" si="58"/>
        <v>18</v>
      </c>
      <c r="B129" t="str">
        <f t="shared" si="59"/>
        <v>10</v>
      </c>
      <c r="C129" t="str">
        <f t="shared" si="60"/>
        <v>066</v>
      </c>
      <c r="D129" t="str">
        <f t="shared" si="61"/>
        <v>3005118</v>
      </c>
      <c r="E129" t="str">
        <f t="shared" si="62"/>
        <v>02</v>
      </c>
      <c r="F129" t="str">
        <f t="shared" si="63"/>
        <v>641200</v>
      </c>
      <c r="G129" t="str">
        <f t="shared" si="64"/>
        <v>00000</v>
      </c>
      <c r="H129" t="str">
        <f>"01/26/18"</f>
        <v>01/26/18</v>
      </c>
      <c r="I129" t="str">
        <f>"292515"</f>
        <v>292515</v>
      </c>
      <c r="J129" s="3">
        <v>2990</v>
      </c>
      <c r="K129" t="str">
        <f t="shared" si="65"/>
        <v>NAVISITE INC</v>
      </c>
      <c r="L129" t="str">
        <f>"APA-13851  FY18  ACT-5TB-MDL MONTHLY iCLOUD STORAGE 12/1/16-6/30/17"</f>
        <v>APA-13851  FY18  ACT-5TB-MDL MONTHLY iCLOUD STORAGE 12/1/16-6/30/17</v>
      </c>
      <c r="M129" t="str">
        <f t="shared" si="66"/>
        <v>SVALLANT</v>
      </c>
    </row>
    <row r="130" spans="1:13" x14ac:dyDescent="0.25">
      <c r="A130" t="str">
        <f t="shared" si="58"/>
        <v>18</v>
      </c>
      <c r="B130" t="str">
        <f t="shared" si="59"/>
        <v>10</v>
      </c>
      <c r="C130" t="str">
        <f t="shared" si="60"/>
        <v>066</v>
      </c>
      <c r="D130" t="str">
        <f t="shared" si="61"/>
        <v>3005118</v>
      </c>
      <c r="E130" t="str">
        <f t="shared" si="62"/>
        <v>02</v>
      </c>
      <c r="F130" t="str">
        <f t="shared" si="63"/>
        <v>641200</v>
      </c>
      <c r="G130" t="str">
        <f t="shared" si="64"/>
        <v>00000</v>
      </c>
      <c r="H130" t="str">
        <f>"01/26/18"</f>
        <v>01/26/18</v>
      </c>
      <c r="I130" t="str">
        <f>"293830"</f>
        <v>293830</v>
      </c>
      <c r="J130" s="3">
        <v>2990</v>
      </c>
      <c r="K130" t="str">
        <f t="shared" si="65"/>
        <v>NAVISITE INC</v>
      </c>
      <c r="L130" t="str">
        <f>"APA-13851  FY18  ACT-5TB-MDL MONTHLY iCLOUD STORAGE 12/1/16-6/30/17"</f>
        <v>APA-13851  FY18  ACT-5TB-MDL MONTHLY iCLOUD STORAGE 12/1/16-6/30/17</v>
      </c>
      <c r="M130" t="str">
        <f t="shared" si="66"/>
        <v>SVALLANT</v>
      </c>
    </row>
    <row r="131" spans="1:13" x14ac:dyDescent="0.25">
      <c r="A131" t="str">
        <f t="shared" si="58"/>
        <v>18</v>
      </c>
      <c r="B131" t="str">
        <f t="shared" si="59"/>
        <v>10</v>
      </c>
      <c r="C131" t="str">
        <f t="shared" si="60"/>
        <v>066</v>
      </c>
      <c r="D131" t="str">
        <f t="shared" si="61"/>
        <v>3005118</v>
      </c>
      <c r="E131" t="str">
        <f t="shared" si="62"/>
        <v>02</v>
      </c>
      <c r="F131" t="str">
        <f t="shared" si="63"/>
        <v>641200</v>
      </c>
      <c r="G131" t="str">
        <f t="shared" si="64"/>
        <v>00000</v>
      </c>
      <c r="H131" t="str">
        <f>"01/26/18"</f>
        <v>01/26/18</v>
      </c>
      <c r="I131" t="str">
        <f>"295110"</f>
        <v>295110</v>
      </c>
      <c r="J131" s="3">
        <v>2990</v>
      </c>
      <c r="K131" t="str">
        <f t="shared" si="65"/>
        <v>NAVISITE INC</v>
      </c>
      <c r="L131" t="str">
        <f>"APA-13851  FY18  ACT-5TB-MDL MONTHLY iCLOUD STORAGE 12/1/16-6/30/17"</f>
        <v>APA-13851  FY18  ACT-5TB-MDL MONTHLY iCLOUD STORAGE 12/1/16-6/30/17</v>
      </c>
      <c r="M131" t="str">
        <f t="shared" si="66"/>
        <v>SVALLANT</v>
      </c>
    </row>
    <row r="132" spans="1:13" x14ac:dyDescent="0.25">
      <c r="A132" t="str">
        <f t="shared" si="58"/>
        <v>18</v>
      </c>
      <c r="B132" t="str">
        <f t="shared" si="59"/>
        <v>10</v>
      </c>
      <c r="C132" t="str">
        <f t="shared" si="60"/>
        <v>066</v>
      </c>
      <c r="D132" t="str">
        <f t="shared" si="61"/>
        <v>3005118</v>
      </c>
      <c r="E132" t="str">
        <f t="shared" si="62"/>
        <v>02</v>
      </c>
      <c r="F132" t="str">
        <f t="shared" si="63"/>
        <v>641200</v>
      </c>
      <c r="G132" t="str">
        <f t="shared" si="64"/>
        <v>00000</v>
      </c>
      <c r="H132" t="str">
        <f>"01/30/18"</f>
        <v>01/30/18</v>
      </c>
      <c r="I132" t="str">
        <f>"291500"</f>
        <v>291500</v>
      </c>
      <c r="J132" s="3">
        <v>17003.509999999998</v>
      </c>
      <c r="K132" t="str">
        <f t="shared" si="65"/>
        <v>NAVISITE INC</v>
      </c>
      <c r="L132" t="str">
        <f>"APA-13851  FY18  NCIS VAULT, END-TO-END, SERVICE ACTIVATION; END-TO-END ACTIFIO 10TB SOLUTION INCLUDING 3-YEAR MAINTENANCE.  CLIENT SIDE FIBER CABLING INCLUDED AS WELL AS SWITCH. - $332,660."</f>
        <v>APA-13851  FY18  NCIS VAULT, END-TO-END, SERVICE ACTIVATION; END-TO-END ACTIFIO 10TB SOLUTION INCLUDING 3-YEAR MAINTENANCE.  CLIENT SIDE FIBER CABLING INCLUDED AS WELL AS SWITCH. - $332,660.</v>
      </c>
      <c r="M132" t="str">
        <f t="shared" si="66"/>
        <v>SVALLANT</v>
      </c>
    </row>
    <row r="133" spans="1:13" x14ac:dyDescent="0.25">
      <c r="A133" t="str">
        <f t="shared" si="58"/>
        <v>18</v>
      </c>
      <c r="B133" t="str">
        <f t="shared" si="59"/>
        <v>10</v>
      </c>
      <c r="C133" t="str">
        <f t="shared" si="60"/>
        <v>066</v>
      </c>
      <c r="D133" t="str">
        <f t="shared" si="61"/>
        <v>3005118</v>
      </c>
      <c r="E133" t="str">
        <f t="shared" si="62"/>
        <v>02</v>
      </c>
      <c r="F133" t="str">
        <f t="shared" si="63"/>
        <v>641200</v>
      </c>
      <c r="G133" t="str">
        <f t="shared" si="64"/>
        <v>00000</v>
      </c>
      <c r="H133" t="str">
        <f>"01/30/18"</f>
        <v>01/30/18</v>
      </c>
      <c r="I133" t="str">
        <f>"292203"</f>
        <v>292203</v>
      </c>
      <c r="J133" s="3">
        <v>8935.11</v>
      </c>
      <c r="K133" t="str">
        <f t="shared" si="65"/>
        <v>NAVISITE INC</v>
      </c>
      <c r="L133" t="str">
        <f>"APA-13851  FY18  NCIS VAULT, END-TO-END, SERVICE ACTIVATION; END-TO-END ACTIFIO 10TB SOLUTION INCLUDING 3-YEAR MAINTENANCE.  CLIENT SIDE FIBER CABLING INCLUDED AS WELL AS SWITCH. - $332,660."</f>
        <v>APA-13851  FY18  NCIS VAULT, END-TO-END, SERVICE ACTIVATION; END-TO-END ACTIFIO 10TB SOLUTION INCLUDING 3-YEAR MAINTENANCE.  CLIENT SIDE FIBER CABLING INCLUDED AS WELL AS SWITCH. - $332,660.</v>
      </c>
      <c r="M133" t="str">
        <f t="shared" si="66"/>
        <v>SVALLANT</v>
      </c>
    </row>
    <row r="134" spans="1:13" x14ac:dyDescent="0.25">
      <c r="A134" t="str">
        <f t="shared" si="58"/>
        <v>18</v>
      </c>
      <c r="B134" t="str">
        <f t="shared" si="59"/>
        <v>10</v>
      </c>
      <c r="C134" t="str">
        <f t="shared" si="60"/>
        <v>066</v>
      </c>
      <c r="D134" t="str">
        <f t="shared" si="61"/>
        <v>3005118</v>
      </c>
      <c r="E134" t="str">
        <f t="shared" si="62"/>
        <v>02</v>
      </c>
      <c r="F134" t="str">
        <f t="shared" si="63"/>
        <v>641200</v>
      </c>
      <c r="G134" t="str">
        <f t="shared" si="64"/>
        <v>00000</v>
      </c>
      <c r="H134" t="str">
        <f>"01/30/18"</f>
        <v>01/30/18</v>
      </c>
      <c r="I134" t="str">
        <f>"293515"</f>
        <v>293515</v>
      </c>
      <c r="J134" s="3">
        <v>8935.11</v>
      </c>
      <c r="K134" t="str">
        <f t="shared" si="65"/>
        <v>NAVISITE INC</v>
      </c>
      <c r="L134" t="str">
        <f>"APA-13851  FY18  NCIS VAULT, END-TO-END, SERVICE ACTIVATION; END-TO-END ACTIFIO 10TB SOLUTION INCLUDING 3-YEAR MAINTENANCE.  CLIENT SIDE FIBER CABLING INCLUDED AS WELL AS SWITCH. - $332,660."</f>
        <v>APA-13851  FY18  NCIS VAULT, END-TO-END, SERVICE ACTIVATION; END-TO-END ACTIFIO 10TB SOLUTION INCLUDING 3-YEAR MAINTENANCE.  CLIENT SIDE FIBER CABLING INCLUDED AS WELL AS SWITCH. - $332,660.</v>
      </c>
      <c r="M134" t="str">
        <f t="shared" si="66"/>
        <v>SVALLANT</v>
      </c>
    </row>
    <row r="135" spans="1:13" x14ac:dyDescent="0.25">
      <c r="A135" t="str">
        <f t="shared" si="58"/>
        <v>18</v>
      </c>
      <c r="B135" t="str">
        <f t="shared" si="59"/>
        <v>10</v>
      </c>
      <c r="C135" t="str">
        <f t="shared" si="60"/>
        <v>066</v>
      </c>
      <c r="D135" t="str">
        <f t="shared" si="61"/>
        <v>3005118</v>
      </c>
      <c r="E135" t="str">
        <f t="shared" si="62"/>
        <v>02</v>
      </c>
      <c r="F135" t="str">
        <f t="shared" si="63"/>
        <v>641200</v>
      </c>
      <c r="G135" t="str">
        <f t="shared" si="64"/>
        <v>00000</v>
      </c>
      <c r="H135" t="str">
        <f>"01/30/18"</f>
        <v>01/30/18</v>
      </c>
      <c r="I135" t="str">
        <f>"294785"</f>
        <v>294785</v>
      </c>
      <c r="J135" s="3">
        <v>8935.11</v>
      </c>
      <c r="K135" t="str">
        <f t="shared" si="65"/>
        <v>NAVISITE INC</v>
      </c>
      <c r="L135" t="str">
        <f>"APA-13851  FY18  NCIS VAULT, END-TO-END, SERVICE ACTIVATION; END-TO-END ACTIFIO 10TB SOLUTION INCLUDING 3-YEAR MAINTENANCE.  CLIENT SIDE FIBER CABLING INCLUDED AS WELL AS SWITCH. - $332,660."</f>
        <v>APA-13851  FY18  NCIS VAULT, END-TO-END, SERVICE ACTIVATION; END-TO-END ACTIFIO 10TB SOLUTION INCLUDING 3-YEAR MAINTENANCE.  CLIENT SIDE FIBER CABLING INCLUDED AS WELL AS SWITCH. - $332,660.</v>
      </c>
      <c r="M135" t="str">
        <f t="shared" si="66"/>
        <v>SVALLANT</v>
      </c>
    </row>
    <row r="136" spans="1:13" x14ac:dyDescent="0.25">
      <c r="I136"/>
      <c r="J136" s="6">
        <f>SUM(J127:J135)</f>
        <v>58758.84</v>
      </c>
    </row>
    <row r="137" spans="1:13" x14ac:dyDescent="0.25">
      <c r="I137"/>
      <c r="J137" s="3"/>
    </row>
    <row r="138" spans="1:13" x14ac:dyDescent="0.25">
      <c r="A138" t="str">
        <f t="shared" ref="A138:A143" si="67">"18"</f>
        <v>18</v>
      </c>
      <c r="B138" t="str">
        <f t="shared" ref="B138:B143" si="68">"10"</f>
        <v>10</v>
      </c>
      <c r="C138" t="str">
        <f t="shared" ref="C138:C143" si="69">"066"</f>
        <v>066</v>
      </c>
      <c r="D138" t="str">
        <f t="shared" ref="D138:D143" si="70">"3005118"</f>
        <v>3005118</v>
      </c>
      <c r="E138" t="str">
        <f t="shared" ref="E138:E143" si="71">"02"</f>
        <v>02</v>
      </c>
      <c r="F138" t="str">
        <f t="shared" ref="F138:F143" si="72">"641300"</f>
        <v>641300</v>
      </c>
      <c r="G138" t="str">
        <f t="shared" ref="G138:G143" si="73">"00000"</f>
        <v>00000</v>
      </c>
      <c r="H138" t="str">
        <f>"09/15/17"</f>
        <v>09/15/17</v>
      </c>
      <c r="I138" t="str">
        <f>"13032"</f>
        <v>13032</v>
      </c>
      <c r="J138" s="3">
        <v>2386.25</v>
      </c>
      <c r="K138" t="str">
        <f t="shared" ref="K138:K143" si="74">"KYRAN RESEARCH ASSOCIATES INC"</f>
        <v>KYRAN RESEARCH ASSOCIATES INC</v>
      </c>
      <c r="L138" t="str">
        <f t="shared" ref="L138:L143" si="75">"7/1/15-6/30/18 - SOFTWARE MAINTENANCE AND  TECHNICAL SUPPORT SERVICES FOR PRECIOUS METALS AND PAWNS DATABASE."</f>
        <v>7/1/15-6/30/18 - SOFTWARE MAINTENANCE AND  TECHNICAL SUPPORT SERVICES FOR PRECIOUS METALS AND PAWNS DATABASE.</v>
      </c>
      <c r="M138" t="str">
        <f t="shared" ref="M138:M143" si="76">"BOBW@KYR"</f>
        <v>BOBW@KYR</v>
      </c>
    </row>
    <row r="139" spans="1:13" x14ac:dyDescent="0.25">
      <c r="A139" t="str">
        <f t="shared" si="67"/>
        <v>18</v>
      </c>
      <c r="B139" t="str">
        <f t="shared" si="68"/>
        <v>10</v>
      </c>
      <c r="C139" t="str">
        <f t="shared" si="69"/>
        <v>066</v>
      </c>
      <c r="D139" t="str">
        <f t="shared" si="70"/>
        <v>3005118</v>
      </c>
      <c r="E139" t="str">
        <f t="shared" si="71"/>
        <v>02</v>
      </c>
      <c r="F139" t="str">
        <f t="shared" si="72"/>
        <v>641300</v>
      </c>
      <c r="G139" t="str">
        <f t="shared" si="73"/>
        <v>00000</v>
      </c>
      <c r="H139" t="str">
        <f>"09/26/17"</f>
        <v>09/26/17</v>
      </c>
      <c r="I139" t="str">
        <f>"13021"</f>
        <v>13021</v>
      </c>
      <c r="J139" s="3">
        <v>6210</v>
      </c>
      <c r="K139" t="str">
        <f t="shared" si="74"/>
        <v>KYRAN RESEARCH ASSOCIATES INC</v>
      </c>
      <c r="L139" t="str">
        <f t="shared" si="75"/>
        <v>7/1/15-6/30/18 - SOFTWARE MAINTENANCE AND  TECHNICAL SUPPORT SERVICES FOR PRECIOUS METALS AND PAWNS DATABASE.</v>
      </c>
      <c r="M139" t="str">
        <f t="shared" si="76"/>
        <v>BOBW@KYR</v>
      </c>
    </row>
    <row r="140" spans="1:13" x14ac:dyDescent="0.25">
      <c r="A140" t="str">
        <f t="shared" si="67"/>
        <v>18</v>
      </c>
      <c r="B140" t="str">
        <f t="shared" si="68"/>
        <v>10</v>
      </c>
      <c r="C140" t="str">
        <f t="shared" si="69"/>
        <v>066</v>
      </c>
      <c r="D140" t="str">
        <f t="shared" si="70"/>
        <v>3005118</v>
      </c>
      <c r="E140" t="str">
        <f t="shared" si="71"/>
        <v>02</v>
      </c>
      <c r="F140" t="str">
        <f t="shared" si="72"/>
        <v>641300</v>
      </c>
      <c r="G140" t="str">
        <f t="shared" si="73"/>
        <v>00000</v>
      </c>
      <c r="H140" t="str">
        <f>"10/30/17"</f>
        <v>10/30/17</v>
      </c>
      <c r="I140" t="str">
        <f>"13042"</f>
        <v>13042</v>
      </c>
      <c r="J140" s="3">
        <v>1581.25</v>
      </c>
      <c r="K140" t="str">
        <f t="shared" si="74"/>
        <v>KYRAN RESEARCH ASSOCIATES INC</v>
      </c>
      <c r="L140" t="str">
        <f t="shared" si="75"/>
        <v>7/1/15-6/30/18 - SOFTWARE MAINTENANCE AND  TECHNICAL SUPPORT SERVICES FOR PRECIOUS METALS AND PAWNS DATABASE.</v>
      </c>
      <c r="M140" t="str">
        <f t="shared" si="76"/>
        <v>BOBW@KYR</v>
      </c>
    </row>
    <row r="141" spans="1:13" x14ac:dyDescent="0.25">
      <c r="A141" t="str">
        <f t="shared" si="67"/>
        <v>18</v>
      </c>
      <c r="B141" t="str">
        <f t="shared" si="68"/>
        <v>10</v>
      </c>
      <c r="C141" t="str">
        <f t="shared" si="69"/>
        <v>066</v>
      </c>
      <c r="D141" t="str">
        <f t="shared" si="70"/>
        <v>3005118</v>
      </c>
      <c r="E141" t="str">
        <f t="shared" si="71"/>
        <v>02</v>
      </c>
      <c r="F141" t="str">
        <f t="shared" si="72"/>
        <v>641300</v>
      </c>
      <c r="G141" t="str">
        <f t="shared" si="73"/>
        <v>00000</v>
      </c>
      <c r="H141" t="str">
        <f>"11/29/17"</f>
        <v>11/29/17</v>
      </c>
      <c r="I141" t="str">
        <f>"13053"</f>
        <v>13053</v>
      </c>
      <c r="J141" s="3">
        <v>3047.5</v>
      </c>
      <c r="K141" t="str">
        <f t="shared" si="74"/>
        <v>KYRAN RESEARCH ASSOCIATES INC</v>
      </c>
      <c r="L141" t="str">
        <f t="shared" si="75"/>
        <v>7/1/15-6/30/18 - SOFTWARE MAINTENANCE AND  TECHNICAL SUPPORT SERVICES FOR PRECIOUS METALS AND PAWNS DATABASE.</v>
      </c>
      <c r="M141" t="str">
        <f t="shared" si="76"/>
        <v>BOBW@KYR</v>
      </c>
    </row>
    <row r="142" spans="1:13" x14ac:dyDescent="0.25">
      <c r="A142" t="str">
        <f t="shared" si="67"/>
        <v>18</v>
      </c>
      <c r="B142" t="str">
        <f t="shared" si="68"/>
        <v>10</v>
      </c>
      <c r="C142" t="str">
        <f t="shared" si="69"/>
        <v>066</v>
      </c>
      <c r="D142" t="str">
        <f t="shared" si="70"/>
        <v>3005118</v>
      </c>
      <c r="E142" t="str">
        <f t="shared" si="71"/>
        <v>02</v>
      </c>
      <c r="F142" t="str">
        <f t="shared" si="72"/>
        <v>641300</v>
      </c>
      <c r="G142" t="str">
        <f t="shared" si="73"/>
        <v>00000</v>
      </c>
      <c r="H142" t="str">
        <f>"01/19/18"</f>
        <v>01/19/18</v>
      </c>
      <c r="I142" t="str">
        <f>"13062A"</f>
        <v>13062A</v>
      </c>
      <c r="J142" s="3">
        <v>2300</v>
      </c>
      <c r="K142" t="str">
        <f t="shared" si="74"/>
        <v>KYRAN RESEARCH ASSOCIATES INC</v>
      </c>
      <c r="L142" t="str">
        <f t="shared" si="75"/>
        <v>7/1/15-6/30/18 - SOFTWARE MAINTENANCE AND  TECHNICAL SUPPORT SERVICES FOR PRECIOUS METALS AND PAWNS DATABASE.</v>
      </c>
      <c r="M142" t="str">
        <f t="shared" si="76"/>
        <v>BOBW@KYR</v>
      </c>
    </row>
    <row r="143" spans="1:13" x14ac:dyDescent="0.25">
      <c r="A143" t="str">
        <f t="shared" si="67"/>
        <v>18</v>
      </c>
      <c r="B143" t="str">
        <f t="shared" si="68"/>
        <v>10</v>
      </c>
      <c r="C143" t="str">
        <f t="shared" si="69"/>
        <v>066</v>
      </c>
      <c r="D143" t="str">
        <f t="shared" si="70"/>
        <v>3005118</v>
      </c>
      <c r="E143" t="str">
        <f t="shared" si="71"/>
        <v>02</v>
      </c>
      <c r="F143" t="str">
        <f t="shared" si="72"/>
        <v>641300</v>
      </c>
      <c r="G143" t="str">
        <f t="shared" si="73"/>
        <v>00000</v>
      </c>
      <c r="H143" t="str">
        <f>"01/26/18"</f>
        <v>01/26/18</v>
      </c>
      <c r="I143" t="str">
        <f>"13077"</f>
        <v>13077</v>
      </c>
      <c r="J143" s="3">
        <v>345</v>
      </c>
      <c r="K143" t="str">
        <f t="shared" si="74"/>
        <v>KYRAN RESEARCH ASSOCIATES INC</v>
      </c>
      <c r="L143" t="str">
        <f t="shared" si="75"/>
        <v>7/1/15-6/30/18 - SOFTWARE MAINTENANCE AND  TECHNICAL SUPPORT SERVICES FOR PRECIOUS METALS AND PAWNS DATABASE.</v>
      </c>
      <c r="M143" t="str">
        <f t="shared" si="76"/>
        <v>BOBW@KYR</v>
      </c>
    </row>
    <row r="144" spans="1:13" x14ac:dyDescent="0.25">
      <c r="I144"/>
      <c r="J144" s="6">
        <f>SUM(J138:J143)</f>
        <v>15870</v>
      </c>
    </row>
    <row r="145" spans="1:13" x14ac:dyDescent="0.25">
      <c r="I145"/>
      <c r="J145" s="3"/>
    </row>
    <row r="146" spans="1:13" x14ac:dyDescent="0.25">
      <c r="A146" t="str">
        <f>"18"</f>
        <v>18</v>
      </c>
      <c r="B146" t="str">
        <f>"10"</f>
        <v>10</v>
      </c>
      <c r="C146" t="str">
        <f>"066"</f>
        <v>066</v>
      </c>
      <c r="D146" t="str">
        <f>"3005118"</f>
        <v>3005118</v>
      </c>
      <c r="E146" t="str">
        <f>"02"</f>
        <v>02</v>
      </c>
      <c r="F146" t="str">
        <f>"641400"</f>
        <v>641400</v>
      </c>
      <c r="G146" t="str">
        <f>"00000"</f>
        <v>00000</v>
      </c>
      <c r="H146" t="str">
        <f>"08/29/17"</f>
        <v>08/29/17</v>
      </c>
      <c r="I146" t="str">
        <f>"119785"</f>
        <v>119785</v>
      </c>
      <c r="J146" s="6">
        <v>445.5</v>
      </c>
      <c r="K146" t="str">
        <f>"SIGNET ELECTRONIC SYSTEMS INC"</f>
        <v>SIGNET ELECTRONIC SYSTEMS INC</v>
      </c>
      <c r="L146" t="str">
        <f>"repair"</f>
        <v>repair</v>
      </c>
      <c r="M146" t="str">
        <f>"MFUSCO"</f>
        <v>MFUSCO</v>
      </c>
    </row>
    <row r="147" spans="1:13" x14ac:dyDescent="0.25">
      <c r="I147"/>
      <c r="J147" s="3"/>
    </row>
    <row r="148" spans="1:13" x14ac:dyDescent="0.25">
      <c r="A148" t="str">
        <f>"18"</f>
        <v>18</v>
      </c>
      <c r="B148" t="str">
        <f>"10"</f>
        <v>10</v>
      </c>
      <c r="C148" t="str">
        <f>"066"</f>
        <v>066</v>
      </c>
      <c r="D148" t="str">
        <f>"3005118"</f>
        <v>3005118</v>
      </c>
      <c r="E148" t="str">
        <f>"02"</f>
        <v>02</v>
      </c>
      <c r="F148" t="str">
        <f>"642100"</f>
        <v>642100</v>
      </c>
      <c r="G148" t="str">
        <f>"00000"</f>
        <v>00000</v>
      </c>
      <c r="H148" t="str">
        <f>"01/10/18"</f>
        <v>01/10/18</v>
      </c>
      <c r="I148" t="str">
        <f>"J18066MEF0216"</f>
        <v>J18066MEF0216</v>
      </c>
      <c r="J148" s="6">
        <v>-590</v>
      </c>
      <c r="K148" t="str">
        <f>"ADJ OF INV# 2225-RI SNOW AND ICE"</f>
        <v>ADJ OF INV# 2225-RI SNOW AND ICE</v>
      </c>
      <c r="M148" t="str">
        <f>"MFUSCO"</f>
        <v>MFUSCO</v>
      </c>
    </row>
    <row r="149" spans="1:13" x14ac:dyDescent="0.25">
      <c r="I149"/>
      <c r="J149" s="4"/>
    </row>
    <row r="150" spans="1:13" x14ac:dyDescent="0.25">
      <c r="A150" t="str">
        <f>"18"</f>
        <v>18</v>
      </c>
      <c r="B150" t="str">
        <f>"10"</f>
        <v>10</v>
      </c>
      <c r="C150" t="str">
        <f>"066"</f>
        <v>066</v>
      </c>
      <c r="D150" t="str">
        <f>"3005118"</f>
        <v>3005118</v>
      </c>
      <c r="E150" t="str">
        <f>"02"</f>
        <v>02</v>
      </c>
      <c r="F150" t="str">
        <f>"643110"</f>
        <v>643110</v>
      </c>
      <c r="G150" t="str">
        <f>"00000"</f>
        <v>00000</v>
      </c>
      <c r="H150" t="str">
        <f>"08/25/17"</f>
        <v>08/25/17</v>
      </c>
      <c r="I150" t="str">
        <f>"174213"</f>
        <v>174213</v>
      </c>
      <c r="J150" s="6">
        <v>155.69999999999999</v>
      </c>
      <c r="K150" t="str">
        <f>"NATIONAL SECURITY CORPORATION"</f>
        <v>NATIONAL SECURITY CORPORATION</v>
      </c>
      <c r="L150" t="str">
        <f>"security monitoring - 180"</f>
        <v>security monitoring - 180</v>
      </c>
      <c r="M150" t="str">
        <f>"SVALLANT"</f>
        <v>SVALLANT</v>
      </c>
    </row>
    <row r="151" spans="1:13" x14ac:dyDescent="0.25">
      <c r="I151"/>
      <c r="J151" s="3"/>
    </row>
    <row r="152" spans="1:13" x14ac:dyDescent="0.25">
      <c r="A152" t="str">
        <f>"18"</f>
        <v>18</v>
      </c>
      <c r="B152" t="str">
        <f>"10"</f>
        <v>10</v>
      </c>
      <c r="C152" t="str">
        <f>"066"</f>
        <v>066</v>
      </c>
      <c r="D152" t="str">
        <f>"3005118"</f>
        <v>3005118</v>
      </c>
      <c r="E152" t="str">
        <f>"02"</f>
        <v>02</v>
      </c>
      <c r="F152" t="str">
        <f>"643120"</f>
        <v>643120</v>
      </c>
      <c r="G152" t="str">
        <f>"00000"</f>
        <v>00000</v>
      </c>
      <c r="H152" t="str">
        <f>"11/28/17"</f>
        <v>11/28/17</v>
      </c>
      <c r="I152" t="str">
        <f>"IN123053"</f>
        <v>IN123053</v>
      </c>
      <c r="J152" s="6">
        <v>719.28</v>
      </c>
      <c r="K152" t="str">
        <f>"CUSTOM COMPUTER SPECIALISTS INC"</f>
        <v>CUSTOM COMPUTER SPECIALISTS INC</v>
      </c>
      <c r="L152" t="str">
        <f>"PDU mount kit for HPE 600mm x 1200mm Grey Enterprise Shock Rack - Rack - gray, silver, light gray."</f>
        <v>PDU mount kit for HPE 600mm x 1200mm Grey Enterprise Shock Rack - Rack - gray, silver, light gray.</v>
      </c>
      <c r="M152" t="str">
        <f>"SVALLANT"</f>
        <v>SVALLANT</v>
      </c>
    </row>
    <row r="153" spans="1:13" x14ac:dyDescent="0.25">
      <c r="I153"/>
      <c r="J153" s="3"/>
    </row>
    <row r="154" spans="1:13" x14ac:dyDescent="0.25">
      <c r="A154" t="str">
        <f>"18"</f>
        <v>18</v>
      </c>
      <c r="B154" t="str">
        <f>"10"</f>
        <v>10</v>
      </c>
      <c r="C154" t="str">
        <f>"066"</f>
        <v>066</v>
      </c>
      <c r="D154" t="str">
        <f>"3005118"</f>
        <v>3005118</v>
      </c>
      <c r="E154" t="str">
        <f>"02"</f>
        <v>02</v>
      </c>
      <c r="F154" t="str">
        <f>"643160"</f>
        <v>643160</v>
      </c>
      <c r="G154" t="str">
        <f>"00000"</f>
        <v>00000</v>
      </c>
      <c r="H154" t="str">
        <f>"01/05/18"</f>
        <v>01/05/18</v>
      </c>
      <c r="I154" t="str">
        <f>"18066MEF0202"</f>
        <v>18066MEF0202</v>
      </c>
      <c r="J154" s="6">
        <v>500</v>
      </c>
      <c r="K154" t="str">
        <f>"PROVIDENCE CITY OF"</f>
        <v>PROVIDENCE CITY OF</v>
      </c>
      <c r="L154" t="str">
        <f>"FIRE BOX FOR 180 SOUTH MAIN STREET"</f>
        <v>FIRE BOX FOR 180 SOUTH MAIN STREET</v>
      </c>
      <c r="M154" t="str">
        <f>"MFUSCO"</f>
        <v>MFUSCO</v>
      </c>
    </row>
    <row r="155" spans="1:13" x14ac:dyDescent="0.25">
      <c r="I155"/>
      <c r="J155" s="3"/>
    </row>
    <row r="156" spans="1:13" x14ac:dyDescent="0.25">
      <c r="A156" t="str">
        <f>"18"</f>
        <v>18</v>
      </c>
      <c r="B156" t="str">
        <f>"10"</f>
        <v>10</v>
      </c>
      <c r="C156" t="str">
        <f>"066"</f>
        <v>066</v>
      </c>
      <c r="D156" t="str">
        <f>"3005118"</f>
        <v>3005118</v>
      </c>
      <c r="E156" t="str">
        <f>"02"</f>
        <v>02</v>
      </c>
      <c r="F156" t="str">
        <f>"643700"</f>
        <v>643700</v>
      </c>
      <c r="G156" t="str">
        <f>"00000"</f>
        <v>00000</v>
      </c>
      <c r="H156" t="str">
        <f>"08/22/17"</f>
        <v>08/22/17</v>
      </c>
      <c r="I156" t="str">
        <f>"#20170627AG"</f>
        <v>#20170627AG</v>
      </c>
      <c r="J156" s="3">
        <v>1000</v>
      </c>
      <c r="K156" t="str">
        <f>"ALL THINGS CONSIDERED PROMOTIONS &amp; SUPPL"</f>
        <v>ALL THINGS CONSIDERED PROMOTIONS &amp; SUPPL</v>
      </c>
      <c r="L156" t="s">
        <v>47</v>
      </c>
      <c r="M156" t="str">
        <f>"MFUSCO"</f>
        <v>MFUSCO</v>
      </c>
    </row>
    <row r="157" spans="1:13" x14ac:dyDescent="0.25">
      <c r="A157" t="str">
        <f>"18"</f>
        <v>18</v>
      </c>
      <c r="B157" t="str">
        <f>"10"</f>
        <v>10</v>
      </c>
      <c r="C157" t="str">
        <f>"066"</f>
        <v>066</v>
      </c>
      <c r="D157" t="str">
        <f>"3005118"</f>
        <v>3005118</v>
      </c>
      <c r="E157" t="str">
        <f>"02"</f>
        <v>02</v>
      </c>
      <c r="F157" t="str">
        <f>"643700"</f>
        <v>643700</v>
      </c>
      <c r="G157" t="str">
        <f>"00000"</f>
        <v>00000</v>
      </c>
      <c r="H157" t="str">
        <f>"08/22/17"</f>
        <v>08/22/17</v>
      </c>
      <c r="I157" t="str">
        <f>"#20170627AG"</f>
        <v>#20170627AG</v>
      </c>
      <c r="J157" s="3">
        <v>650</v>
      </c>
      <c r="K157" t="str">
        <f>"ALL THINGS CONSIDERED PROMOTIONS &amp; SUPPL"</f>
        <v>ALL THINGS CONSIDERED PROMOTIONS &amp; SUPPL</v>
      </c>
      <c r="L157" t="s">
        <v>48</v>
      </c>
      <c r="M157" t="str">
        <f>"MFUSCO"</f>
        <v>MFUSCO</v>
      </c>
    </row>
    <row r="158" spans="1:13" x14ac:dyDescent="0.25">
      <c r="I158"/>
      <c r="J158" s="6">
        <f>SUM(J156:J157)</f>
        <v>1650</v>
      </c>
    </row>
    <row r="159" spans="1:13" x14ac:dyDescent="0.25">
      <c r="I159"/>
      <c r="J159" s="3"/>
    </row>
    <row r="160" spans="1:13" x14ac:dyDescent="0.25">
      <c r="A160" t="str">
        <f>"18"</f>
        <v>18</v>
      </c>
      <c r="B160" t="str">
        <f>"10"</f>
        <v>10</v>
      </c>
      <c r="C160" t="str">
        <f>"066"</f>
        <v>066</v>
      </c>
      <c r="D160" t="str">
        <f>"3005118"</f>
        <v>3005118</v>
      </c>
      <c r="E160" t="str">
        <f>"02"</f>
        <v>02</v>
      </c>
      <c r="F160" t="str">
        <f>"643710"</f>
        <v>643710</v>
      </c>
      <c r="G160" t="str">
        <f>"00000"</f>
        <v>00000</v>
      </c>
      <c r="H160" t="str">
        <f>"01/30/18"</f>
        <v>01/30/18</v>
      </c>
      <c r="I160" t="str">
        <f>"18066MEF0258"</f>
        <v>18066MEF0258</v>
      </c>
      <c r="J160" s="6">
        <v>4995</v>
      </c>
      <c r="K160" t="str">
        <f>"PRESIDENT AND FELLOWS OF HARVARD COLLEGE"</f>
        <v>PRESIDENT AND FELLOWS OF HARVARD COLLEGE</v>
      </c>
      <c r="L160" t="str">
        <f>"COURSE FOR N. KELLY - HARVARD NEGOTIATION MASTER CLASS"</f>
        <v>COURSE FOR N. KELLY - HARVARD NEGOTIATION MASTER CLASS</v>
      </c>
      <c r="M160" t="str">
        <f>"MFUSCO"</f>
        <v>MFUSCO</v>
      </c>
    </row>
    <row r="161" spans="1:13" x14ac:dyDescent="0.25">
      <c r="I161"/>
      <c r="J161" s="3"/>
    </row>
    <row r="162" spans="1:13" ht="30" x14ac:dyDescent="0.25">
      <c r="A162" t="str">
        <f t="shared" ref="A162:A176" si="77">"18"</f>
        <v>18</v>
      </c>
      <c r="B162" t="str">
        <f t="shared" ref="B162:B176" si="78">"10"</f>
        <v>10</v>
      </c>
      <c r="C162" t="str">
        <f t="shared" ref="C162:C176" si="79">"066"</f>
        <v>066</v>
      </c>
      <c r="D162" t="str">
        <f t="shared" ref="D162:D176" si="80">"3005118"</f>
        <v>3005118</v>
      </c>
      <c r="E162" t="str">
        <f t="shared" ref="E162:E176" si="81">"02"</f>
        <v>02</v>
      </c>
      <c r="F162" t="str">
        <f t="shared" ref="F162:F173" si="82">"644300"</f>
        <v>644300</v>
      </c>
      <c r="G162" t="str">
        <f t="shared" ref="G162:G176" si="83">"00000"</f>
        <v>00000</v>
      </c>
      <c r="H162" t="str">
        <f>"08/25/17"</f>
        <v>08/25/17</v>
      </c>
      <c r="I162" t="str">
        <f>"J18068TLB_DIRECT_NATUR"</f>
        <v>J18068TLB_DIRECT_NATUR</v>
      </c>
      <c r="J162" s="3">
        <v>109.01</v>
      </c>
      <c r="K162" s="2" t="str">
        <f>"JUNE - JULY 2017 NATURAL GAS SUPPLY PAYMENT"</f>
        <v>JUNE - JULY 2017 NATURAL GAS SUPPLY PAYMENT</v>
      </c>
      <c r="M162" t="str">
        <f t="shared" ref="M162:M176" si="84">"TBROOKS"</f>
        <v>TBROOKS</v>
      </c>
    </row>
    <row r="163" spans="1:13" x14ac:dyDescent="0.25">
      <c r="A163" t="str">
        <f t="shared" si="77"/>
        <v>18</v>
      </c>
      <c r="B163" t="str">
        <f t="shared" si="78"/>
        <v>10</v>
      </c>
      <c r="C163" t="str">
        <f t="shared" si="79"/>
        <v>066</v>
      </c>
      <c r="D163" t="str">
        <f t="shared" si="80"/>
        <v>3005118</v>
      </c>
      <c r="E163" t="str">
        <f t="shared" si="81"/>
        <v>02</v>
      </c>
      <c r="F163" t="str">
        <f t="shared" si="82"/>
        <v>644300</v>
      </c>
      <c r="G163" t="str">
        <f t="shared" si="83"/>
        <v>00000</v>
      </c>
      <c r="H163" t="str">
        <f>"08/25/17"</f>
        <v>08/25/17</v>
      </c>
      <c r="I163" t="str">
        <f>"J18068TLB_DIRECT_NATUR"</f>
        <v>J18068TLB_DIRECT_NATUR</v>
      </c>
      <c r="J163" s="4">
        <v>461.7</v>
      </c>
      <c r="K163" s="2" t="str">
        <f>"JUNE 2017 NATURAL GAS SUPPLY PAYMENT"</f>
        <v>JUNE 2017 NATURAL GAS SUPPLY PAYMENT</v>
      </c>
      <c r="M163" t="str">
        <f t="shared" si="84"/>
        <v>TBROOKS</v>
      </c>
    </row>
    <row r="164" spans="1:13" x14ac:dyDescent="0.25">
      <c r="A164" t="str">
        <f t="shared" si="77"/>
        <v>18</v>
      </c>
      <c r="B164" t="str">
        <f t="shared" si="78"/>
        <v>10</v>
      </c>
      <c r="C164" t="str">
        <f t="shared" si="79"/>
        <v>066</v>
      </c>
      <c r="D164" t="str">
        <f t="shared" si="80"/>
        <v>3005118</v>
      </c>
      <c r="E164" t="str">
        <f t="shared" si="81"/>
        <v>02</v>
      </c>
      <c r="F164" t="str">
        <f t="shared" si="82"/>
        <v>644300</v>
      </c>
      <c r="G164" t="str">
        <f t="shared" si="83"/>
        <v>00000</v>
      </c>
      <c r="H164" t="str">
        <f>"10/04/17"</f>
        <v>10/04/17</v>
      </c>
      <c r="I164" t="str">
        <f>"J18068DIRECTGASAUG All"</f>
        <v>J18068DIRECTGASAUG All</v>
      </c>
      <c r="J164" s="4">
        <v>19.420000000000002</v>
      </c>
      <c r="K164" s="2" t="str">
        <f>"AUGUST 2017 NATURAL GAS SUPPLY PAYMENT"</f>
        <v>AUGUST 2017 NATURAL GAS SUPPLY PAYMENT</v>
      </c>
      <c r="M164" t="str">
        <f t="shared" si="84"/>
        <v>TBROOKS</v>
      </c>
    </row>
    <row r="165" spans="1:13" ht="30" x14ac:dyDescent="0.25">
      <c r="A165" t="str">
        <f t="shared" si="77"/>
        <v>18</v>
      </c>
      <c r="B165" t="str">
        <f t="shared" si="78"/>
        <v>10</v>
      </c>
      <c r="C165" t="str">
        <f t="shared" si="79"/>
        <v>066</v>
      </c>
      <c r="D165" t="str">
        <f t="shared" si="80"/>
        <v>3005118</v>
      </c>
      <c r="E165" t="str">
        <f t="shared" si="81"/>
        <v>02</v>
      </c>
      <c r="F165" t="str">
        <f t="shared" si="82"/>
        <v>644300</v>
      </c>
      <c r="G165" t="str">
        <f t="shared" si="83"/>
        <v>00000</v>
      </c>
      <c r="H165" t="str">
        <f>"11/27/17"</f>
        <v>11/27/17</v>
      </c>
      <c r="I165" t="str">
        <f>"J18068NGRIDGASAUG Allo"</f>
        <v>J18068NGRIDGASAUG Allo</v>
      </c>
      <c r="J165" s="4">
        <v>231.57</v>
      </c>
      <c r="K165" s="2" t="str">
        <f>"NATIONAL GRID NATURAL GAS ALLOCATION - AUGUST 2017"</f>
        <v>NATIONAL GRID NATURAL GAS ALLOCATION - AUGUST 2017</v>
      </c>
      <c r="M165" t="str">
        <f t="shared" si="84"/>
        <v>TBROOKS</v>
      </c>
    </row>
    <row r="166" spans="1:13" ht="30" x14ac:dyDescent="0.25">
      <c r="A166" t="str">
        <f t="shared" si="77"/>
        <v>18</v>
      </c>
      <c r="B166" t="str">
        <f t="shared" si="78"/>
        <v>10</v>
      </c>
      <c r="C166" t="str">
        <f t="shared" si="79"/>
        <v>066</v>
      </c>
      <c r="D166" t="str">
        <f t="shared" si="80"/>
        <v>3005118</v>
      </c>
      <c r="E166" t="str">
        <f t="shared" si="81"/>
        <v>02</v>
      </c>
      <c r="F166" t="str">
        <f t="shared" si="82"/>
        <v>644300</v>
      </c>
      <c r="G166" t="str">
        <f t="shared" si="83"/>
        <v>00000</v>
      </c>
      <c r="H166" t="str">
        <f>"11/27/17"</f>
        <v>11/27/17</v>
      </c>
      <c r="I166" t="str">
        <f>"J18068NGRIDGASJUL Allo"</f>
        <v>J18068NGRIDGASJUL Allo</v>
      </c>
      <c r="J166" s="4">
        <v>119.95</v>
      </c>
      <c r="K166" s="2" t="str">
        <f>"NATIONAL GRID NATURAL GAS ALLOCATION - JULY 2017"</f>
        <v>NATIONAL GRID NATURAL GAS ALLOCATION - JULY 2017</v>
      </c>
      <c r="M166" t="str">
        <f t="shared" si="84"/>
        <v>TBROOKS</v>
      </c>
    </row>
    <row r="167" spans="1:13" ht="30" x14ac:dyDescent="0.25">
      <c r="A167" t="str">
        <f t="shared" si="77"/>
        <v>18</v>
      </c>
      <c r="B167" t="str">
        <f t="shared" si="78"/>
        <v>10</v>
      </c>
      <c r="C167" t="str">
        <f t="shared" si="79"/>
        <v>066</v>
      </c>
      <c r="D167" t="str">
        <f t="shared" si="80"/>
        <v>3005118</v>
      </c>
      <c r="E167" t="str">
        <f t="shared" si="81"/>
        <v>02</v>
      </c>
      <c r="F167" t="str">
        <f t="shared" si="82"/>
        <v>644300</v>
      </c>
      <c r="G167" t="str">
        <f t="shared" si="83"/>
        <v>00000</v>
      </c>
      <c r="H167" t="str">
        <f>"11/27/17"</f>
        <v>11/27/17</v>
      </c>
      <c r="I167" t="str">
        <f>"J18068NGRIDGASJUN Allo"</f>
        <v>J18068NGRIDGASJUN Allo</v>
      </c>
      <c r="J167" s="4">
        <v>612.62</v>
      </c>
      <c r="K167" s="2" t="str">
        <f>"NATIONAL GRID NATURAL GAS ALLOCATION - JUNE 2017"</f>
        <v>NATIONAL GRID NATURAL GAS ALLOCATION - JUNE 2017</v>
      </c>
      <c r="M167" t="str">
        <f t="shared" si="84"/>
        <v>TBROOKS</v>
      </c>
    </row>
    <row r="168" spans="1:13" ht="30" x14ac:dyDescent="0.25">
      <c r="A168" t="str">
        <f t="shared" si="77"/>
        <v>18</v>
      </c>
      <c r="B168" t="str">
        <f t="shared" si="78"/>
        <v>10</v>
      </c>
      <c r="C168" t="str">
        <f t="shared" si="79"/>
        <v>066</v>
      </c>
      <c r="D168" t="str">
        <f t="shared" si="80"/>
        <v>3005118</v>
      </c>
      <c r="E168" t="str">
        <f t="shared" si="81"/>
        <v>02</v>
      </c>
      <c r="F168" t="str">
        <f t="shared" si="82"/>
        <v>644300</v>
      </c>
      <c r="G168" t="str">
        <f t="shared" si="83"/>
        <v>00000</v>
      </c>
      <c r="H168" t="str">
        <f>"11/27/17"</f>
        <v>11/27/17</v>
      </c>
      <c r="I168" t="str">
        <f>"J18068NGRIDGASSEP Allo"</f>
        <v>J18068NGRIDGASSEP Allo</v>
      </c>
      <c r="J168" s="4">
        <v>225.27</v>
      </c>
      <c r="K168" s="2" t="str">
        <f>"NATIONAL GRID NATURAL GAS ALLOCATION - SEPTEMBER 2017"</f>
        <v>NATIONAL GRID NATURAL GAS ALLOCATION - SEPTEMBER 2017</v>
      </c>
      <c r="M168" t="str">
        <f t="shared" si="84"/>
        <v>TBROOKS</v>
      </c>
    </row>
    <row r="169" spans="1:13" ht="30" x14ac:dyDescent="0.25">
      <c r="A169" t="str">
        <f t="shared" si="77"/>
        <v>18</v>
      </c>
      <c r="B169" t="str">
        <f t="shared" si="78"/>
        <v>10</v>
      </c>
      <c r="C169" t="str">
        <f t="shared" si="79"/>
        <v>066</v>
      </c>
      <c r="D169" t="str">
        <f t="shared" si="80"/>
        <v>3005118</v>
      </c>
      <c r="E169" t="str">
        <f t="shared" si="81"/>
        <v>02</v>
      </c>
      <c r="F169" t="str">
        <f t="shared" si="82"/>
        <v>644300</v>
      </c>
      <c r="G169" t="str">
        <f t="shared" si="83"/>
        <v>00000</v>
      </c>
      <c r="H169" t="str">
        <f>"11/28/17"</f>
        <v>11/28/17</v>
      </c>
      <c r="I169" t="str">
        <f>"J18068DIRECTGASSEP All"</f>
        <v>J18068DIRECTGASSEP All</v>
      </c>
      <c r="J169" s="4">
        <v>13.69</v>
      </c>
      <c r="K169" s="2" t="str">
        <f>"SEPTEMBER 2017 NATURAL GAS SUPPLY PAYMENT"</f>
        <v>SEPTEMBER 2017 NATURAL GAS SUPPLY PAYMENT</v>
      </c>
      <c r="M169" t="str">
        <f t="shared" si="84"/>
        <v>TBROOKS</v>
      </c>
    </row>
    <row r="170" spans="1:13" ht="30" x14ac:dyDescent="0.25">
      <c r="A170" t="str">
        <f t="shared" si="77"/>
        <v>18</v>
      </c>
      <c r="B170" t="str">
        <f t="shared" si="78"/>
        <v>10</v>
      </c>
      <c r="C170" t="str">
        <f t="shared" si="79"/>
        <v>066</v>
      </c>
      <c r="D170" t="str">
        <f t="shared" si="80"/>
        <v>3005118</v>
      </c>
      <c r="E170" t="str">
        <f t="shared" si="81"/>
        <v>02</v>
      </c>
      <c r="F170" t="str">
        <f t="shared" si="82"/>
        <v>644300</v>
      </c>
      <c r="G170" t="str">
        <f t="shared" si="83"/>
        <v>00000</v>
      </c>
      <c r="H170" t="str">
        <f>"12/15/17"</f>
        <v>12/15/17</v>
      </c>
      <c r="I170" t="str">
        <f>"J18068DIRECTGASOCT All"</f>
        <v>J18068DIRECTGASOCT All</v>
      </c>
      <c r="J170" s="4">
        <v>57.8</v>
      </c>
      <c r="K170" s="2" t="str">
        <f>"OCTOBER 2017 NATURAL GAS SUPPLY PAYMENT"</f>
        <v>OCTOBER 2017 NATURAL GAS SUPPLY PAYMENT</v>
      </c>
      <c r="M170" t="str">
        <f t="shared" si="84"/>
        <v>TBROOKS</v>
      </c>
    </row>
    <row r="171" spans="1:13" ht="30" x14ac:dyDescent="0.25">
      <c r="A171" t="str">
        <f t="shared" si="77"/>
        <v>18</v>
      </c>
      <c r="B171" t="str">
        <f t="shared" si="78"/>
        <v>10</v>
      </c>
      <c r="C171" t="str">
        <f t="shared" si="79"/>
        <v>066</v>
      </c>
      <c r="D171" t="str">
        <f t="shared" si="80"/>
        <v>3005118</v>
      </c>
      <c r="E171" t="str">
        <f t="shared" si="81"/>
        <v>02</v>
      </c>
      <c r="F171" t="str">
        <f t="shared" si="82"/>
        <v>644300</v>
      </c>
      <c r="G171" t="str">
        <f t="shared" si="83"/>
        <v>00000</v>
      </c>
      <c r="H171" t="str">
        <f>"01/10/18"</f>
        <v>01/10/18</v>
      </c>
      <c r="I171" t="str">
        <f>"J18068NGRIDGASOCT Allo"</f>
        <v>J18068NGRIDGASOCT Allo</v>
      </c>
      <c r="J171" s="4">
        <v>263.45</v>
      </c>
      <c r="K171" s="2" t="str">
        <f>"NATIONAL GRID NATURAL GAS ALLOCATION - OCTOBER 2017"</f>
        <v>NATIONAL GRID NATURAL GAS ALLOCATION - OCTOBER 2017</v>
      </c>
      <c r="M171" t="str">
        <f t="shared" si="84"/>
        <v>TBROOKS</v>
      </c>
    </row>
    <row r="172" spans="1:13" ht="30" x14ac:dyDescent="0.25">
      <c r="A172" t="str">
        <f t="shared" si="77"/>
        <v>18</v>
      </c>
      <c r="B172" t="str">
        <f t="shared" si="78"/>
        <v>10</v>
      </c>
      <c r="C172" t="str">
        <f t="shared" si="79"/>
        <v>066</v>
      </c>
      <c r="D172" t="str">
        <f t="shared" si="80"/>
        <v>3005118</v>
      </c>
      <c r="E172" t="str">
        <f t="shared" si="81"/>
        <v>02</v>
      </c>
      <c r="F172" t="str">
        <f t="shared" si="82"/>
        <v>644300</v>
      </c>
      <c r="G172" t="str">
        <f t="shared" si="83"/>
        <v>00000</v>
      </c>
      <c r="H172" t="str">
        <f>"01/18/18"</f>
        <v>01/18/18</v>
      </c>
      <c r="I172" t="str">
        <f>"J18068NGRIDGASNOV Allo"</f>
        <v>J18068NGRIDGASNOV Allo</v>
      </c>
      <c r="J172" s="4">
        <v>481.19</v>
      </c>
      <c r="K172" s="2" t="str">
        <f>"NATIONAL GRID NATURAL GAS ALLOCATION - NOVEMBER 2017"</f>
        <v>NATIONAL GRID NATURAL GAS ALLOCATION - NOVEMBER 2017</v>
      </c>
      <c r="M172" t="str">
        <f t="shared" si="84"/>
        <v>TBROOKS</v>
      </c>
    </row>
    <row r="173" spans="1:13" ht="30" x14ac:dyDescent="0.25">
      <c r="A173" t="str">
        <f t="shared" si="77"/>
        <v>18</v>
      </c>
      <c r="B173" t="str">
        <f t="shared" si="78"/>
        <v>10</v>
      </c>
      <c r="C173" t="str">
        <f t="shared" si="79"/>
        <v>066</v>
      </c>
      <c r="D173" t="str">
        <f t="shared" si="80"/>
        <v>3005118</v>
      </c>
      <c r="E173" t="str">
        <f t="shared" si="81"/>
        <v>02</v>
      </c>
      <c r="F173" t="str">
        <f t="shared" si="82"/>
        <v>644300</v>
      </c>
      <c r="G173" t="str">
        <f t="shared" si="83"/>
        <v>00000</v>
      </c>
      <c r="H173" t="str">
        <f>"01/19/18"</f>
        <v>01/19/18</v>
      </c>
      <c r="I173" t="str">
        <f>"J18068DIRECTGASNOV All"</f>
        <v>J18068DIRECTGASNOV All</v>
      </c>
      <c r="J173" s="4">
        <v>756.07</v>
      </c>
      <c r="K173" s="2" t="str">
        <f>"NOVEMBER 2017 NATURAL GAS SUPPLY PAYMENT"</f>
        <v>NOVEMBER 2017 NATURAL GAS SUPPLY PAYMENT</v>
      </c>
      <c r="M173" t="str">
        <f t="shared" si="84"/>
        <v>TBROOKS</v>
      </c>
    </row>
    <row r="174" spans="1:13" ht="30" x14ac:dyDescent="0.25">
      <c r="A174" t="str">
        <f t="shared" si="77"/>
        <v>18</v>
      </c>
      <c r="B174" t="str">
        <f t="shared" si="78"/>
        <v>10</v>
      </c>
      <c r="C174" t="str">
        <f t="shared" si="79"/>
        <v>066</v>
      </c>
      <c r="D174" t="str">
        <f t="shared" si="80"/>
        <v>3005118</v>
      </c>
      <c r="E174" t="str">
        <f t="shared" si="81"/>
        <v>02</v>
      </c>
      <c r="F174" t="str">
        <f>"644510"</f>
        <v>644510</v>
      </c>
      <c r="G174" t="str">
        <f t="shared" si="83"/>
        <v>00000</v>
      </c>
      <c r="H174" t="str">
        <f>"10/05/17"</f>
        <v>10/05/17</v>
      </c>
      <c r="I174" t="str">
        <f>"J18068NGRIDELECTRICAUG"</f>
        <v>J18068NGRIDELECTRICAUG</v>
      </c>
      <c r="J174" s="4">
        <v>8075.9</v>
      </c>
      <c r="K174" s="2" t="str">
        <f>"NATIONAL GRID ELECTRICITY ALLOCATION - AUGUST 2017"</f>
        <v>NATIONAL GRID ELECTRICITY ALLOCATION - AUGUST 2017</v>
      </c>
      <c r="M174" t="str">
        <f t="shared" si="84"/>
        <v>TBROOKS</v>
      </c>
    </row>
    <row r="175" spans="1:13" ht="30" x14ac:dyDescent="0.25">
      <c r="A175" t="str">
        <f t="shared" si="77"/>
        <v>18</v>
      </c>
      <c r="B175" t="str">
        <f t="shared" si="78"/>
        <v>10</v>
      </c>
      <c r="C175" t="str">
        <f t="shared" si="79"/>
        <v>066</v>
      </c>
      <c r="D175" t="str">
        <f t="shared" si="80"/>
        <v>3005118</v>
      </c>
      <c r="E175" t="str">
        <f t="shared" si="81"/>
        <v>02</v>
      </c>
      <c r="F175" t="str">
        <f>"644510"</f>
        <v>644510</v>
      </c>
      <c r="G175" t="str">
        <f t="shared" si="83"/>
        <v>00000</v>
      </c>
      <c r="H175" t="str">
        <f>"10/13/17"</f>
        <v>10/13/17</v>
      </c>
      <c r="I175" t="str">
        <f>"J18068TLB002 Allocatio"</f>
        <v>J18068TLB002 Allocatio</v>
      </c>
      <c r="J175" s="4">
        <v>5201.8</v>
      </c>
      <c r="K175" s="2" t="str">
        <f>"CORRECT NATURAL ACCOUNT ON JOURNAL # J18068NGRIDELECTRICJUN"</f>
        <v>CORRECT NATURAL ACCOUNT ON JOURNAL # J18068NGRIDELECTRICJUN</v>
      </c>
      <c r="M175" t="str">
        <f t="shared" si="84"/>
        <v>TBROOKS</v>
      </c>
    </row>
    <row r="176" spans="1:13" ht="30" x14ac:dyDescent="0.25">
      <c r="A176" t="str">
        <f t="shared" si="77"/>
        <v>18</v>
      </c>
      <c r="B176" t="str">
        <f t="shared" si="78"/>
        <v>10</v>
      </c>
      <c r="C176" t="str">
        <f t="shared" si="79"/>
        <v>066</v>
      </c>
      <c r="D176" t="str">
        <f t="shared" si="80"/>
        <v>3005118</v>
      </c>
      <c r="E176" t="str">
        <f t="shared" si="81"/>
        <v>02</v>
      </c>
      <c r="F176" t="str">
        <f>"644510"</f>
        <v>644510</v>
      </c>
      <c r="G176" t="str">
        <f t="shared" si="83"/>
        <v>00000</v>
      </c>
      <c r="H176" t="str">
        <f>"10/13/17"</f>
        <v>10/13/17</v>
      </c>
      <c r="I176" t="str">
        <f>"J18068TLB003 Adjustmen"</f>
        <v>J18068TLB003 Adjustmen</v>
      </c>
      <c r="J176" s="4">
        <v>6512.64</v>
      </c>
      <c r="K176" s="2" t="str">
        <f>"CORRECT NATURAL ACCOUNT ON JOURNAL # J18068NGRIDELECTRICJUL"</f>
        <v>CORRECT NATURAL ACCOUNT ON JOURNAL # J18068NGRIDELECTRICJUL</v>
      </c>
      <c r="M176" t="str">
        <f t="shared" si="84"/>
        <v>TBROOKS</v>
      </c>
    </row>
    <row r="177" spans="1:13" x14ac:dyDescent="0.25">
      <c r="I177"/>
      <c r="J177" s="6">
        <f>SUM(J162:J176)</f>
        <v>23142.079999999998</v>
      </c>
    </row>
    <row r="178" spans="1:13" x14ac:dyDescent="0.25">
      <c r="I178"/>
      <c r="J178" s="4"/>
    </row>
    <row r="179" spans="1:13" ht="30" x14ac:dyDescent="0.25">
      <c r="A179" t="str">
        <f t="shared" ref="A179:A188" si="85">"18"</f>
        <v>18</v>
      </c>
      <c r="B179" t="str">
        <f t="shared" ref="B179:B188" si="86">"10"</f>
        <v>10</v>
      </c>
      <c r="C179" t="str">
        <f t="shared" ref="C179:C188" si="87">"066"</f>
        <v>066</v>
      </c>
      <c r="D179" t="str">
        <f t="shared" ref="D179:D188" si="88">"3005118"</f>
        <v>3005118</v>
      </c>
      <c r="E179" t="str">
        <f t="shared" ref="E179:E188" si="89">"02"</f>
        <v>02</v>
      </c>
      <c r="F179" t="str">
        <f t="shared" ref="F179:F184" si="90">"644510"</f>
        <v>644510</v>
      </c>
      <c r="G179" t="str">
        <f t="shared" ref="G179:G188" si="91">"00000"</f>
        <v>00000</v>
      </c>
      <c r="H179" t="str">
        <f>"11/27/17"</f>
        <v>11/27/17</v>
      </c>
      <c r="I179" t="str">
        <f>"J18068NGRIDELECTRICOCT"</f>
        <v>J18068NGRIDELECTRICOCT</v>
      </c>
      <c r="J179" s="4">
        <v>6394.96</v>
      </c>
      <c r="K179" s="2" t="str">
        <f>"NATIONAL GRID ELECTRICITY ALLOCATION - OCTOBER 2017"</f>
        <v>NATIONAL GRID ELECTRICITY ALLOCATION - OCTOBER 2017</v>
      </c>
      <c r="M179" t="str">
        <f t="shared" ref="M179:M188" si="92">"TBROOKS"</f>
        <v>TBROOKS</v>
      </c>
    </row>
    <row r="180" spans="1:13" ht="30" x14ac:dyDescent="0.25">
      <c r="A180" t="str">
        <f t="shared" si="85"/>
        <v>18</v>
      </c>
      <c r="B180" t="str">
        <f t="shared" si="86"/>
        <v>10</v>
      </c>
      <c r="C180" t="str">
        <f t="shared" si="87"/>
        <v>066</v>
      </c>
      <c r="D180" t="str">
        <f t="shared" si="88"/>
        <v>3005118</v>
      </c>
      <c r="E180" t="str">
        <f t="shared" si="89"/>
        <v>02</v>
      </c>
      <c r="F180" t="str">
        <f t="shared" si="90"/>
        <v>644510</v>
      </c>
      <c r="G180" t="str">
        <f t="shared" si="91"/>
        <v>00000</v>
      </c>
      <c r="H180" t="str">
        <f>"11/27/17"</f>
        <v>11/27/17</v>
      </c>
      <c r="I180" t="str">
        <f>"J18068NGRIDELECTRICSEP"</f>
        <v>J18068NGRIDELECTRICSEP</v>
      </c>
      <c r="J180" s="4">
        <v>7203.52</v>
      </c>
      <c r="K180" s="2" t="str">
        <f>"NATIONAL GRID ELECTRICITY ALLOCATION - SEPTEMBER 2017"</f>
        <v>NATIONAL GRID ELECTRICITY ALLOCATION - SEPTEMBER 2017</v>
      </c>
      <c r="M180" t="str">
        <f t="shared" si="92"/>
        <v>TBROOKS</v>
      </c>
    </row>
    <row r="181" spans="1:13" ht="30" x14ac:dyDescent="0.25">
      <c r="A181" t="str">
        <f t="shared" si="85"/>
        <v>18</v>
      </c>
      <c r="B181" t="str">
        <f t="shared" si="86"/>
        <v>10</v>
      </c>
      <c r="C181" t="str">
        <f t="shared" si="87"/>
        <v>066</v>
      </c>
      <c r="D181" t="str">
        <f t="shared" si="88"/>
        <v>3005118</v>
      </c>
      <c r="E181" t="str">
        <f t="shared" si="89"/>
        <v>02</v>
      </c>
      <c r="F181" t="str">
        <f t="shared" si="90"/>
        <v>644510</v>
      </c>
      <c r="G181" t="str">
        <f t="shared" si="91"/>
        <v>00000</v>
      </c>
      <c r="H181" t="str">
        <f>"12/15/17"</f>
        <v>12/15/17</v>
      </c>
      <c r="I181" t="str">
        <f>"J18068NGRIDELECTRICNOV"</f>
        <v>J18068NGRIDELECTRICNOV</v>
      </c>
      <c r="J181" s="4">
        <v>3041.18</v>
      </c>
      <c r="K181" s="2" t="str">
        <f>"NATIONAL GRID ELECTRICITY ALLOCATION - NOVEMBER 2017"</f>
        <v>NATIONAL GRID ELECTRICITY ALLOCATION - NOVEMBER 2017</v>
      </c>
      <c r="M181" t="str">
        <f t="shared" si="92"/>
        <v>TBROOKS</v>
      </c>
    </row>
    <row r="182" spans="1:13" x14ac:dyDescent="0.25">
      <c r="A182" t="str">
        <f t="shared" si="85"/>
        <v>18</v>
      </c>
      <c r="B182" t="str">
        <f t="shared" si="86"/>
        <v>10</v>
      </c>
      <c r="C182" t="str">
        <f t="shared" si="87"/>
        <v>066</v>
      </c>
      <c r="D182" t="str">
        <f t="shared" si="88"/>
        <v>3005118</v>
      </c>
      <c r="E182" t="str">
        <f t="shared" si="89"/>
        <v>02</v>
      </c>
      <c r="F182" t="str">
        <f t="shared" si="90"/>
        <v>644510</v>
      </c>
      <c r="G182" t="str">
        <f t="shared" si="91"/>
        <v>00000</v>
      </c>
      <c r="H182" t="str">
        <f>"12/18/17"</f>
        <v>12/18/17</v>
      </c>
      <c r="I182" t="str">
        <f>"J18068DIRECTELECNOV Al"</f>
        <v>J18068DIRECTELECNOV Al</v>
      </c>
      <c r="J182" s="4">
        <v>3811.09</v>
      </c>
      <c r="K182" s="2" t="str">
        <f>"ELECTRICITY SUPPLY - NOVEMBER 2017"</f>
        <v>ELECTRICITY SUPPLY - NOVEMBER 2017</v>
      </c>
      <c r="M182" t="str">
        <f t="shared" si="92"/>
        <v>TBROOKS</v>
      </c>
    </row>
    <row r="183" spans="1:13" ht="30" x14ac:dyDescent="0.25">
      <c r="A183" t="str">
        <f t="shared" si="85"/>
        <v>18</v>
      </c>
      <c r="B183" t="str">
        <f t="shared" si="86"/>
        <v>10</v>
      </c>
      <c r="C183" t="str">
        <f t="shared" si="87"/>
        <v>066</v>
      </c>
      <c r="D183" t="str">
        <f t="shared" si="88"/>
        <v>3005118</v>
      </c>
      <c r="E183" t="str">
        <f t="shared" si="89"/>
        <v>02</v>
      </c>
      <c r="F183" t="str">
        <f t="shared" si="90"/>
        <v>644510</v>
      </c>
      <c r="G183" t="str">
        <f t="shared" si="91"/>
        <v>00000</v>
      </c>
      <c r="H183" t="str">
        <f>"01/10/18"</f>
        <v>01/10/18</v>
      </c>
      <c r="I183" t="str">
        <f>"J18068NGRIDELECTRICDEC"</f>
        <v>J18068NGRIDELECTRICDEC</v>
      </c>
      <c r="J183" s="4">
        <v>2982.17</v>
      </c>
      <c r="K183" s="2" t="str">
        <f>"NATIONAL GRID ELECTRICITY ALLOCATION - DECEMBER 2017"</f>
        <v>NATIONAL GRID ELECTRICITY ALLOCATION - DECEMBER 2017</v>
      </c>
      <c r="M183" t="str">
        <f t="shared" si="92"/>
        <v>TBROOKS</v>
      </c>
    </row>
    <row r="184" spans="1:13" x14ac:dyDescent="0.25">
      <c r="A184" t="str">
        <f t="shared" si="85"/>
        <v>18</v>
      </c>
      <c r="B184" t="str">
        <f t="shared" si="86"/>
        <v>10</v>
      </c>
      <c r="C184" t="str">
        <f t="shared" si="87"/>
        <v>066</v>
      </c>
      <c r="D184" t="str">
        <f t="shared" si="88"/>
        <v>3005118</v>
      </c>
      <c r="E184" t="str">
        <f t="shared" si="89"/>
        <v>02</v>
      </c>
      <c r="F184" t="str">
        <f t="shared" si="90"/>
        <v>644510</v>
      </c>
      <c r="G184" t="str">
        <f t="shared" si="91"/>
        <v>00000</v>
      </c>
      <c r="H184" t="str">
        <f>"01/19/18"</f>
        <v>01/19/18</v>
      </c>
      <c r="I184" t="str">
        <f>"J18068DIRECTELECDEC Al"</f>
        <v>J18068DIRECTELECDEC Al</v>
      </c>
      <c r="J184" s="4">
        <v>3656.33</v>
      </c>
      <c r="K184" s="2" t="str">
        <f>"ELECTRICITY SUPPLY - DECEMBER 2017"</f>
        <v>ELECTRICITY SUPPLY - DECEMBER 2017</v>
      </c>
      <c r="M184" t="str">
        <f t="shared" si="92"/>
        <v>TBROOKS</v>
      </c>
    </row>
    <row r="185" spans="1:13" ht="30" x14ac:dyDescent="0.25">
      <c r="A185" t="str">
        <f t="shared" si="85"/>
        <v>18</v>
      </c>
      <c r="B185" t="str">
        <f t="shared" si="86"/>
        <v>10</v>
      </c>
      <c r="C185" t="str">
        <f t="shared" si="87"/>
        <v>066</v>
      </c>
      <c r="D185" t="str">
        <f t="shared" si="88"/>
        <v>3005118</v>
      </c>
      <c r="E185" t="str">
        <f t="shared" si="89"/>
        <v>02</v>
      </c>
      <c r="F185" t="str">
        <f>"644522"</f>
        <v>644522</v>
      </c>
      <c r="G185" t="str">
        <f t="shared" si="91"/>
        <v>00000</v>
      </c>
      <c r="H185" t="str">
        <f>"09/21/17"</f>
        <v>09/21/17</v>
      </c>
      <c r="I185" t="str">
        <f>"J18068NGRIDELECTRICJUL"</f>
        <v>J18068NGRIDELECTRICJUL</v>
      </c>
      <c r="J185" s="4">
        <v>6512.64</v>
      </c>
      <c r="K185" s="2" t="str">
        <f>"NATIONAL GRID ELECTRICITY ALLOCATION - JULY 2017"</f>
        <v>NATIONAL GRID ELECTRICITY ALLOCATION - JULY 2017</v>
      </c>
      <c r="M185" t="str">
        <f t="shared" si="92"/>
        <v>TBROOKS</v>
      </c>
    </row>
    <row r="186" spans="1:13" ht="30" x14ac:dyDescent="0.25">
      <c r="A186" t="str">
        <f t="shared" si="85"/>
        <v>18</v>
      </c>
      <c r="B186" t="str">
        <f t="shared" si="86"/>
        <v>10</v>
      </c>
      <c r="C186" t="str">
        <f t="shared" si="87"/>
        <v>066</v>
      </c>
      <c r="D186" t="str">
        <f t="shared" si="88"/>
        <v>3005118</v>
      </c>
      <c r="E186" t="str">
        <f t="shared" si="89"/>
        <v>02</v>
      </c>
      <c r="F186" t="str">
        <f>"644522"</f>
        <v>644522</v>
      </c>
      <c r="G186" t="str">
        <f t="shared" si="91"/>
        <v>00000</v>
      </c>
      <c r="H186" t="str">
        <f>"09/21/17"</f>
        <v>09/21/17</v>
      </c>
      <c r="I186" t="str">
        <f>"J18068NGRIDELECTRICJUN"</f>
        <v>J18068NGRIDELECTRICJUN</v>
      </c>
      <c r="J186" s="4">
        <v>5201.8</v>
      </c>
      <c r="K186" s="2" t="str">
        <f>"NATIONAL GRID ELECTRICITY ALLOCATION - JUNE 2017"</f>
        <v>NATIONAL GRID ELECTRICITY ALLOCATION - JUNE 2017</v>
      </c>
      <c r="M186" t="str">
        <f t="shared" si="92"/>
        <v>TBROOKS</v>
      </c>
    </row>
    <row r="187" spans="1:13" ht="30" x14ac:dyDescent="0.25">
      <c r="A187" t="str">
        <f t="shared" si="85"/>
        <v>18</v>
      </c>
      <c r="B187" t="str">
        <f t="shared" si="86"/>
        <v>10</v>
      </c>
      <c r="C187" t="str">
        <f t="shared" si="87"/>
        <v>066</v>
      </c>
      <c r="D187" t="str">
        <f t="shared" si="88"/>
        <v>3005118</v>
      </c>
      <c r="E187" t="str">
        <f t="shared" si="89"/>
        <v>02</v>
      </c>
      <c r="F187" t="str">
        <f>"644522"</f>
        <v>644522</v>
      </c>
      <c r="G187" t="str">
        <f t="shared" si="91"/>
        <v>00000</v>
      </c>
      <c r="H187" t="str">
        <f>"10/13/17"</f>
        <v>10/13/17</v>
      </c>
      <c r="I187" t="str">
        <f>"J18068TLB002 Allocatio"</f>
        <v>J18068TLB002 Allocatio</v>
      </c>
      <c r="J187" s="4">
        <v>-5201.8</v>
      </c>
      <c r="K187" s="2" t="str">
        <f>"CORRECT NATURAL ACCOUNT ON JOURNAL # J18068NGRIDELECTRICJUN"</f>
        <v>CORRECT NATURAL ACCOUNT ON JOURNAL # J18068NGRIDELECTRICJUN</v>
      </c>
      <c r="M187" t="str">
        <f t="shared" si="92"/>
        <v>TBROOKS</v>
      </c>
    </row>
    <row r="188" spans="1:13" ht="30" x14ac:dyDescent="0.25">
      <c r="A188" t="str">
        <f t="shared" si="85"/>
        <v>18</v>
      </c>
      <c r="B188" t="str">
        <f t="shared" si="86"/>
        <v>10</v>
      </c>
      <c r="C188" t="str">
        <f t="shared" si="87"/>
        <v>066</v>
      </c>
      <c r="D188" t="str">
        <f t="shared" si="88"/>
        <v>3005118</v>
      </c>
      <c r="E188" t="str">
        <f t="shared" si="89"/>
        <v>02</v>
      </c>
      <c r="F188" t="str">
        <f>"644522"</f>
        <v>644522</v>
      </c>
      <c r="G188" t="str">
        <f t="shared" si="91"/>
        <v>00000</v>
      </c>
      <c r="H188" t="str">
        <f>"10/13/17"</f>
        <v>10/13/17</v>
      </c>
      <c r="I188" t="str">
        <f>"J18068TLB003 Adjustmen"</f>
        <v>J18068TLB003 Adjustmen</v>
      </c>
      <c r="J188" s="4">
        <v>-6512.64</v>
      </c>
      <c r="K188" s="2" t="str">
        <f>"CORRECT NATURAL ACCOUNT ON JOURNAL # J18068NGRIDELECTRICJUL"</f>
        <v>CORRECT NATURAL ACCOUNT ON JOURNAL # J18068NGRIDELECTRICJUL</v>
      </c>
      <c r="M188" t="str">
        <f t="shared" si="92"/>
        <v>TBROOKS</v>
      </c>
    </row>
    <row r="189" spans="1:13" x14ac:dyDescent="0.25">
      <c r="I189"/>
      <c r="J189" s="6">
        <f>SUM(J179:J188)</f>
        <v>27089.25</v>
      </c>
      <c r="K189" s="2"/>
    </row>
    <row r="190" spans="1:13" x14ac:dyDescent="0.25">
      <c r="I190"/>
      <c r="J190" s="3"/>
    </row>
    <row r="191" spans="1:13" x14ac:dyDescent="0.25">
      <c r="A191" t="str">
        <f t="shared" ref="A191:A201" si="93">"18"</f>
        <v>18</v>
      </c>
      <c r="B191" t="str">
        <f t="shared" ref="B191:B201" si="94">"10"</f>
        <v>10</v>
      </c>
      <c r="C191" t="str">
        <f t="shared" ref="C191:C201" si="95">"066"</f>
        <v>066</v>
      </c>
      <c r="D191" t="str">
        <f t="shared" ref="D191:D201" si="96">"3005118"</f>
        <v>3005118</v>
      </c>
      <c r="E191" t="str">
        <f t="shared" ref="E191:E201" si="97">"02"</f>
        <v>02</v>
      </c>
      <c r="F191" t="str">
        <f t="shared" ref="F191:F201" si="98">"644700"</f>
        <v>644700</v>
      </c>
      <c r="G191" t="str">
        <f t="shared" ref="G191:G201" si="99">"00000"</f>
        <v>00000</v>
      </c>
      <c r="H191" t="str">
        <f>"08/18/17"</f>
        <v>08/18/17</v>
      </c>
      <c r="I191" t="str">
        <f>"18066MEF0012"</f>
        <v>18066MEF0012</v>
      </c>
      <c r="J191" s="3">
        <v>138.97999999999999</v>
      </c>
      <c r="K191" t="str">
        <f t="shared" ref="K191:K201" si="100">"PROVIDENCE WATER SUPPLY BOARD"</f>
        <v>PROVIDENCE WATER SUPPLY BOARD</v>
      </c>
      <c r="L191" t="str">
        <f>"WATER FOR 180 SOUTH MAIN STREET"</f>
        <v>WATER FOR 180 SOUTH MAIN STREET</v>
      </c>
      <c r="M191" t="str">
        <f t="shared" ref="M191:M201" si="101">"MFUSCO"</f>
        <v>MFUSCO</v>
      </c>
    </row>
    <row r="192" spans="1:13" x14ac:dyDescent="0.25">
      <c r="A192" t="str">
        <f t="shared" si="93"/>
        <v>18</v>
      </c>
      <c r="B192" t="str">
        <f t="shared" si="94"/>
        <v>10</v>
      </c>
      <c r="C192" t="str">
        <f t="shared" si="95"/>
        <v>066</v>
      </c>
      <c r="D192" t="str">
        <f t="shared" si="96"/>
        <v>3005118</v>
      </c>
      <c r="E192" t="str">
        <f t="shared" si="97"/>
        <v>02</v>
      </c>
      <c r="F192" t="str">
        <f t="shared" si="98"/>
        <v>644700</v>
      </c>
      <c r="G192" t="str">
        <f t="shared" si="99"/>
        <v>00000</v>
      </c>
      <c r="H192" t="str">
        <f>"08/18/17"</f>
        <v>08/18/17</v>
      </c>
      <c r="I192" t="str">
        <f>"18066MEF0014"</f>
        <v>18066MEF0014</v>
      </c>
      <c r="J192" s="3">
        <v>265.77999999999997</v>
      </c>
      <c r="K192" t="str">
        <f t="shared" si="100"/>
        <v>PROVIDENCE WATER SUPPLY BOARD</v>
      </c>
      <c r="L192" t="str">
        <f>"WATER FOR 180 SOUTH MAIN STREET"</f>
        <v>WATER FOR 180 SOUTH MAIN STREET</v>
      </c>
      <c r="M192" t="str">
        <f t="shared" si="101"/>
        <v>MFUSCO</v>
      </c>
    </row>
    <row r="193" spans="1:13" x14ac:dyDescent="0.25">
      <c r="A193" t="str">
        <f t="shared" si="93"/>
        <v>18</v>
      </c>
      <c r="B193" t="str">
        <f t="shared" si="94"/>
        <v>10</v>
      </c>
      <c r="C193" t="str">
        <f t="shared" si="95"/>
        <v>066</v>
      </c>
      <c r="D193" t="str">
        <f t="shared" si="96"/>
        <v>3005118</v>
      </c>
      <c r="E193" t="str">
        <f t="shared" si="97"/>
        <v>02</v>
      </c>
      <c r="F193" t="str">
        <f t="shared" si="98"/>
        <v>644700</v>
      </c>
      <c r="G193" t="str">
        <f t="shared" si="99"/>
        <v>00000</v>
      </c>
      <c r="H193" t="str">
        <f>"08/29/17"</f>
        <v>08/29/17</v>
      </c>
      <c r="I193" t="str">
        <f>"18066MEF0026"</f>
        <v>18066MEF0026</v>
      </c>
      <c r="J193" s="3">
        <v>279.35000000000002</v>
      </c>
      <c r="K193" t="str">
        <f t="shared" si="100"/>
        <v>PROVIDENCE WATER SUPPLY BOARD</v>
      </c>
      <c r="L193" t="str">
        <f>"WATER FOR 180 SOUTH MAIN STREET, PROVIDENCE, RI"</f>
        <v>WATER FOR 180 SOUTH MAIN STREET, PROVIDENCE, RI</v>
      </c>
      <c r="M193" t="str">
        <f t="shared" si="101"/>
        <v>MFUSCO</v>
      </c>
    </row>
    <row r="194" spans="1:13" x14ac:dyDescent="0.25">
      <c r="A194" t="str">
        <f t="shared" si="93"/>
        <v>18</v>
      </c>
      <c r="B194" t="str">
        <f t="shared" si="94"/>
        <v>10</v>
      </c>
      <c r="C194" t="str">
        <f t="shared" si="95"/>
        <v>066</v>
      </c>
      <c r="D194" t="str">
        <f t="shared" si="96"/>
        <v>3005118</v>
      </c>
      <c r="E194" t="str">
        <f t="shared" si="97"/>
        <v>02</v>
      </c>
      <c r="F194" t="str">
        <f t="shared" si="98"/>
        <v>644700</v>
      </c>
      <c r="G194" t="str">
        <f t="shared" si="99"/>
        <v>00000</v>
      </c>
      <c r="H194" t="str">
        <f>"09/12/17"</f>
        <v>09/12/17</v>
      </c>
      <c r="I194" t="str">
        <f>"18066MEF0052"</f>
        <v>18066MEF0052</v>
      </c>
      <c r="J194" s="3">
        <v>64.709999999999994</v>
      </c>
      <c r="K194" t="str">
        <f t="shared" si="100"/>
        <v>PROVIDENCE WATER SUPPLY BOARD</v>
      </c>
      <c r="L194" t="str">
        <f>"WATER FOR 180 SOUTH MAIN STREET 7/31-8/30/17"</f>
        <v>WATER FOR 180 SOUTH MAIN STREET 7/31-8/30/17</v>
      </c>
      <c r="M194" t="str">
        <f t="shared" si="101"/>
        <v>MFUSCO</v>
      </c>
    </row>
    <row r="195" spans="1:13" x14ac:dyDescent="0.25">
      <c r="A195" t="str">
        <f t="shared" si="93"/>
        <v>18</v>
      </c>
      <c r="B195" t="str">
        <f t="shared" si="94"/>
        <v>10</v>
      </c>
      <c r="C195" t="str">
        <f t="shared" si="95"/>
        <v>066</v>
      </c>
      <c r="D195" t="str">
        <f t="shared" si="96"/>
        <v>3005118</v>
      </c>
      <c r="E195" t="str">
        <f t="shared" si="97"/>
        <v>02</v>
      </c>
      <c r="F195" t="str">
        <f t="shared" si="98"/>
        <v>644700</v>
      </c>
      <c r="G195" t="str">
        <f t="shared" si="99"/>
        <v>00000</v>
      </c>
      <c r="H195" t="str">
        <f>"10/20/17"</f>
        <v>10/20/17</v>
      </c>
      <c r="I195" t="str">
        <f>"18066MEF0101"</f>
        <v>18066MEF0101</v>
      </c>
      <c r="J195" s="3">
        <v>65.44</v>
      </c>
      <c r="K195" t="str">
        <f t="shared" si="100"/>
        <v>PROVIDENCE WATER SUPPLY BOARD</v>
      </c>
      <c r="L195" t="str">
        <f>"180 SOUTH MAIN WATER"</f>
        <v>180 SOUTH MAIN WATER</v>
      </c>
      <c r="M195" t="str">
        <f t="shared" si="101"/>
        <v>MFUSCO</v>
      </c>
    </row>
    <row r="196" spans="1:13" x14ac:dyDescent="0.25">
      <c r="A196" t="str">
        <f t="shared" si="93"/>
        <v>18</v>
      </c>
      <c r="B196" t="str">
        <f t="shared" si="94"/>
        <v>10</v>
      </c>
      <c r="C196" t="str">
        <f t="shared" si="95"/>
        <v>066</v>
      </c>
      <c r="D196" t="str">
        <f t="shared" si="96"/>
        <v>3005118</v>
      </c>
      <c r="E196" t="str">
        <f t="shared" si="97"/>
        <v>02</v>
      </c>
      <c r="F196" t="str">
        <f t="shared" si="98"/>
        <v>644700</v>
      </c>
      <c r="G196" t="str">
        <f t="shared" si="99"/>
        <v>00000</v>
      </c>
      <c r="H196" t="str">
        <f>"11/01/17"</f>
        <v>11/01/17</v>
      </c>
      <c r="I196" t="str">
        <f>"18066MEF0112"</f>
        <v>18066MEF0112</v>
      </c>
      <c r="J196" s="3">
        <v>138.97999999999999</v>
      </c>
      <c r="K196" t="str">
        <f t="shared" si="100"/>
        <v>PROVIDENCE WATER SUPPLY BOARD</v>
      </c>
      <c r="L196" t="str">
        <f>"WATER FOR 180 SOUTH MAIN STREET FROM 9/18-10/19/17"</f>
        <v>WATER FOR 180 SOUTH MAIN STREET FROM 9/18-10/19/17</v>
      </c>
      <c r="M196" t="str">
        <f t="shared" si="101"/>
        <v>MFUSCO</v>
      </c>
    </row>
    <row r="197" spans="1:13" x14ac:dyDescent="0.25">
      <c r="A197" t="str">
        <f t="shared" si="93"/>
        <v>18</v>
      </c>
      <c r="B197" t="str">
        <f t="shared" si="94"/>
        <v>10</v>
      </c>
      <c r="C197" t="str">
        <f t="shared" si="95"/>
        <v>066</v>
      </c>
      <c r="D197" t="str">
        <f t="shared" si="96"/>
        <v>3005118</v>
      </c>
      <c r="E197" t="str">
        <f t="shared" si="97"/>
        <v>02</v>
      </c>
      <c r="F197" t="str">
        <f t="shared" si="98"/>
        <v>644700</v>
      </c>
      <c r="G197" t="str">
        <f t="shared" si="99"/>
        <v>00000</v>
      </c>
      <c r="H197" t="str">
        <f>"11/17/17"</f>
        <v>11/17/17</v>
      </c>
      <c r="I197" t="str">
        <f>"18066MEF0141"</f>
        <v>18066MEF0141</v>
      </c>
      <c r="J197" s="3">
        <v>63</v>
      </c>
      <c r="K197" t="str">
        <f t="shared" si="100"/>
        <v>PROVIDENCE WATER SUPPLY BOARD</v>
      </c>
      <c r="L197" t="str">
        <f>"180 SOUTH MAIN STREET WATER FROM 9/28-10/31/17"</f>
        <v>180 SOUTH MAIN STREET WATER FROM 9/28-10/31/17</v>
      </c>
      <c r="M197" t="str">
        <f t="shared" si="101"/>
        <v>MFUSCO</v>
      </c>
    </row>
    <row r="198" spans="1:13" x14ac:dyDescent="0.25">
      <c r="A198" t="str">
        <f t="shared" si="93"/>
        <v>18</v>
      </c>
      <c r="B198" t="str">
        <f t="shared" si="94"/>
        <v>10</v>
      </c>
      <c r="C198" t="str">
        <f t="shared" si="95"/>
        <v>066</v>
      </c>
      <c r="D198" t="str">
        <f t="shared" si="96"/>
        <v>3005118</v>
      </c>
      <c r="E198" t="str">
        <f t="shared" si="97"/>
        <v>02</v>
      </c>
      <c r="F198" t="str">
        <f t="shared" si="98"/>
        <v>644700</v>
      </c>
      <c r="G198" t="str">
        <f t="shared" si="99"/>
        <v>00000</v>
      </c>
      <c r="H198" t="str">
        <f>"12/05/17"</f>
        <v>12/05/17</v>
      </c>
      <c r="I198" t="str">
        <f>"18066MEF0169"</f>
        <v>18066MEF0169</v>
      </c>
      <c r="J198" s="3">
        <v>152.88</v>
      </c>
      <c r="K198" t="str">
        <f t="shared" si="100"/>
        <v>PROVIDENCE WATER SUPPLY BOARD</v>
      </c>
      <c r="L198" t="str">
        <f>"WATER FOR 180 SOUTH MAIN STREET"</f>
        <v>WATER FOR 180 SOUTH MAIN STREET</v>
      </c>
      <c r="M198" t="str">
        <f t="shared" si="101"/>
        <v>MFUSCO</v>
      </c>
    </row>
    <row r="199" spans="1:13" x14ac:dyDescent="0.25">
      <c r="A199" t="str">
        <f t="shared" si="93"/>
        <v>18</v>
      </c>
      <c r="B199" t="str">
        <f t="shared" si="94"/>
        <v>10</v>
      </c>
      <c r="C199" t="str">
        <f t="shared" si="95"/>
        <v>066</v>
      </c>
      <c r="D199" t="str">
        <f t="shared" si="96"/>
        <v>3005118</v>
      </c>
      <c r="E199" t="str">
        <f t="shared" si="97"/>
        <v>02</v>
      </c>
      <c r="F199" t="str">
        <f t="shared" si="98"/>
        <v>644700</v>
      </c>
      <c r="G199" t="str">
        <f t="shared" si="99"/>
        <v>00000</v>
      </c>
      <c r="H199" t="str">
        <f>"01/05/18"</f>
        <v>01/05/18</v>
      </c>
      <c r="I199" t="str">
        <f>"18066MEF0203"</f>
        <v>18066MEF0203</v>
      </c>
      <c r="J199" s="3">
        <v>63.24</v>
      </c>
      <c r="K199" t="str">
        <f t="shared" si="100"/>
        <v>PROVIDENCE WATER SUPPLY BOARD</v>
      </c>
      <c r="L199" t="str">
        <f>"PROVIDENCE WATER FOR 180 SOUTH MAIN STREET"</f>
        <v>PROVIDENCE WATER FOR 180 SOUTH MAIN STREET</v>
      </c>
      <c r="M199" t="str">
        <f t="shared" si="101"/>
        <v>MFUSCO</v>
      </c>
    </row>
    <row r="200" spans="1:13" x14ac:dyDescent="0.25">
      <c r="A200" t="str">
        <f t="shared" si="93"/>
        <v>18</v>
      </c>
      <c r="B200" t="str">
        <f t="shared" si="94"/>
        <v>10</v>
      </c>
      <c r="C200" t="str">
        <f t="shared" si="95"/>
        <v>066</v>
      </c>
      <c r="D200" t="str">
        <f t="shared" si="96"/>
        <v>3005118</v>
      </c>
      <c r="E200" t="str">
        <f t="shared" si="97"/>
        <v>02</v>
      </c>
      <c r="F200" t="str">
        <f t="shared" si="98"/>
        <v>644700</v>
      </c>
      <c r="G200" t="str">
        <f t="shared" si="99"/>
        <v>00000</v>
      </c>
      <c r="H200" t="str">
        <f>"01/05/18"</f>
        <v>01/05/18</v>
      </c>
      <c r="I200" t="str">
        <f>"18066MEF0206"</f>
        <v>18066MEF0206</v>
      </c>
      <c r="J200" s="3">
        <v>138.97999999999999</v>
      </c>
      <c r="K200" t="str">
        <f t="shared" si="100"/>
        <v>PROVIDENCE WATER SUPPLY BOARD</v>
      </c>
      <c r="L200" t="str">
        <f>"PROVIDENCE WATER FOR 180 SOUTH MAIN STREET"</f>
        <v>PROVIDENCE WATER FOR 180 SOUTH MAIN STREET</v>
      </c>
      <c r="M200" t="str">
        <f t="shared" si="101"/>
        <v>MFUSCO</v>
      </c>
    </row>
    <row r="201" spans="1:13" x14ac:dyDescent="0.25">
      <c r="A201" t="str">
        <f t="shared" si="93"/>
        <v>18</v>
      </c>
      <c r="B201" t="str">
        <f t="shared" si="94"/>
        <v>10</v>
      </c>
      <c r="C201" t="str">
        <f t="shared" si="95"/>
        <v>066</v>
      </c>
      <c r="D201" t="str">
        <f t="shared" si="96"/>
        <v>3005118</v>
      </c>
      <c r="E201" t="str">
        <f t="shared" si="97"/>
        <v>02</v>
      </c>
      <c r="F201" t="str">
        <f t="shared" si="98"/>
        <v>644700</v>
      </c>
      <c r="G201" t="str">
        <f t="shared" si="99"/>
        <v>00000</v>
      </c>
      <c r="H201" t="str">
        <f>"01/19/18"</f>
        <v>01/19/18</v>
      </c>
      <c r="I201" t="str">
        <f>"18066MEF0231"</f>
        <v>18066MEF0231</v>
      </c>
      <c r="J201" s="3">
        <v>141.86000000000001</v>
      </c>
      <c r="K201" t="str">
        <f t="shared" si="100"/>
        <v>PROVIDENCE WATER SUPPLY BOARD</v>
      </c>
      <c r="L201" t="str">
        <f>"WATER FOR 180 SOUTH MAIN STREET"</f>
        <v>WATER FOR 180 SOUTH MAIN STREET</v>
      </c>
      <c r="M201" t="str">
        <f t="shared" si="101"/>
        <v>MFUSCO</v>
      </c>
    </row>
    <row r="202" spans="1:13" x14ac:dyDescent="0.25">
      <c r="I202"/>
      <c r="J202" s="6">
        <f>SUM(J191:J201)</f>
        <v>1513.1999999999998</v>
      </c>
    </row>
    <row r="203" spans="1:13" x14ac:dyDescent="0.25">
      <c r="I203"/>
      <c r="J203" s="4"/>
    </row>
    <row r="204" spans="1:13" x14ac:dyDescent="0.25">
      <c r="A204" t="str">
        <f>"18"</f>
        <v>18</v>
      </c>
      <c r="B204" t="str">
        <f>"10"</f>
        <v>10</v>
      </c>
      <c r="C204" t="str">
        <f>"066"</f>
        <v>066</v>
      </c>
      <c r="D204" t="str">
        <f>"3005118"</f>
        <v>3005118</v>
      </c>
      <c r="E204" t="str">
        <f>"02"</f>
        <v>02</v>
      </c>
      <c r="F204" t="str">
        <f>"644800"</f>
        <v>644800</v>
      </c>
      <c r="G204" t="str">
        <f>"00000"</f>
        <v>00000</v>
      </c>
      <c r="H204" t="str">
        <f>"08/22/17"</f>
        <v>08/22/17</v>
      </c>
      <c r="I204" t="str">
        <f>"18066MEF0020"</f>
        <v>18066MEF0020</v>
      </c>
      <c r="J204" s="4">
        <v>546.98</v>
      </c>
      <c r="K204" t="str">
        <f>"NARRAGANSETT BAY COMMISSION"</f>
        <v>NARRAGANSETT BAY COMMISSION</v>
      </c>
      <c r="L204" t="str">
        <f>"SEWER FOR 180 SOUTH MAIN STREET"</f>
        <v>SEWER FOR 180 SOUTH MAIN STREET</v>
      </c>
      <c r="M204" t="str">
        <f>"MFUSCO"</f>
        <v>MFUSCO</v>
      </c>
    </row>
    <row r="205" spans="1:13" x14ac:dyDescent="0.25">
      <c r="A205" t="str">
        <f>"18"</f>
        <v>18</v>
      </c>
      <c r="B205" t="str">
        <f>"10"</f>
        <v>10</v>
      </c>
      <c r="C205" t="str">
        <f>"066"</f>
        <v>066</v>
      </c>
      <c r="D205" t="str">
        <f>"3005118"</f>
        <v>3005118</v>
      </c>
      <c r="E205" t="str">
        <f>"02"</f>
        <v>02</v>
      </c>
      <c r="F205" t="str">
        <f>"644800"</f>
        <v>644800</v>
      </c>
      <c r="G205" t="str">
        <f>"00000"</f>
        <v>00000</v>
      </c>
      <c r="H205" t="str">
        <f>"10/16/17"</f>
        <v>10/16/17</v>
      </c>
      <c r="I205" t="str">
        <f>"18066MEF0066"</f>
        <v>18066MEF0066</v>
      </c>
      <c r="J205" s="4">
        <v>269.99</v>
      </c>
      <c r="K205" t="str">
        <f>"NARRAGANSETT BAY COMMISSION"</f>
        <v>NARRAGANSETT BAY COMMISSION</v>
      </c>
      <c r="L205" t="str">
        <f>"SEWER FOR 150 SOUTH MAIN"</f>
        <v>SEWER FOR 150 SOUTH MAIN</v>
      </c>
      <c r="M205" t="str">
        <f>"MFUSCO"</f>
        <v>MFUSCO</v>
      </c>
    </row>
    <row r="206" spans="1:13" x14ac:dyDescent="0.25">
      <c r="A206" t="str">
        <f>"18"</f>
        <v>18</v>
      </c>
      <c r="B206" t="str">
        <f>"10"</f>
        <v>10</v>
      </c>
      <c r="C206" t="str">
        <f>"066"</f>
        <v>066</v>
      </c>
      <c r="D206" t="str">
        <f>"3005118"</f>
        <v>3005118</v>
      </c>
      <c r="E206" t="str">
        <f>"02"</f>
        <v>02</v>
      </c>
      <c r="F206" t="str">
        <f>"644800"</f>
        <v>644800</v>
      </c>
      <c r="G206" t="str">
        <f>"00000"</f>
        <v>00000</v>
      </c>
      <c r="H206" t="str">
        <f>"10/20/17"</f>
        <v>10/20/17</v>
      </c>
      <c r="I206" t="str">
        <f>"18066MEF0105"</f>
        <v>18066MEF0105</v>
      </c>
      <c r="J206" s="4">
        <v>541</v>
      </c>
      <c r="K206" t="str">
        <f>"NARRAGANSETT BAY COMMISSION"</f>
        <v>NARRAGANSETT BAY COMMISSION</v>
      </c>
      <c r="L206" t="str">
        <f>"180 SOUTH MAIN SEWER-8/30-9/28/17"</f>
        <v>180 SOUTH MAIN SEWER-8/30-9/28/17</v>
      </c>
      <c r="M206" t="str">
        <f>"MFUSCO"</f>
        <v>MFUSCO</v>
      </c>
    </row>
    <row r="207" spans="1:13" x14ac:dyDescent="0.25">
      <c r="A207" t="str">
        <f>"18"</f>
        <v>18</v>
      </c>
      <c r="B207" t="str">
        <f>"10"</f>
        <v>10</v>
      </c>
      <c r="C207" t="str">
        <f>"066"</f>
        <v>066</v>
      </c>
      <c r="D207" t="str">
        <f>"3005118"</f>
        <v>3005118</v>
      </c>
      <c r="E207" t="str">
        <f>"02"</f>
        <v>02</v>
      </c>
      <c r="F207" t="str">
        <f>"644800"</f>
        <v>644800</v>
      </c>
      <c r="G207" t="str">
        <f>"00000"</f>
        <v>00000</v>
      </c>
      <c r="H207" t="str">
        <f>"11/17/17"</f>
        <v>11/17/17</v>
      </c>
      <c r="I207" t="str">
        <f>"18066MEF0143"</f>
        <v>18066MEF0143</v>
      </c>
      <c r="J207" s="4">
        <v>228.69</v>
      </c>
      <c r="K207" t="str">
        <f>"NARRAGANSETT BAY COMMISSION"</f>
        <v>NARRAGANSETT BAY COMMISSION</v>
      </c>
      <c r="L207" t="str">
        <f>"180 SOUTH MAIN STREET SEWER 9/28-10/31/17"</f>
        <v>180 SOUTH MAIN STREET SEWER 9/28-10/31/17</v>
      </c>
      <c r="M207" t="str">
        <f>"MFUSCO"</f>
        <v>MFUSCO</v>
      </c>
    </row>
    <row r="208" spans="1:13" x14ac:dyDescent="0.25">
      <c r="A208" t="str">
        <f>"18"</f>
        <v>18</v>
      </c>
      <c r="B208" t="str">
        <f>"10"</f>
        <v>10</v>
      </c>
      <c r="C208" t="str">
        <f>"066"</f>
        <v>066</v>
      </c>
      <c r="D208" t="str">
        <f>"3005118"</f>
        <v>3005118</v>
      </c>
      <c r="E208" t="str">
        <f>"02"</f>
        <v>02</v>
      </c>
      <c r="F208" t="str">
        <f>"644800"</f>
        <v>644800</v>
      </c>
      <c r="G208" t="str">
        <f>"00000"</f>
        <v>00000</v>
      </c>
      <c r="H208" t="str">
        <f>"01/23/18"</f>
        <v>01/23/18</v>
      </c>
      <c r="I208" t="str">
        <f>"18066MEF0244"</f>
        <v>18066MEF0244</v>
      </c>
      <c r="J208" s="3">
        <v>282.27</v>
      </c>
      <c r="K208" t="str">
        <f>"NARRAGANSETT BAY COMMISSION"</f>
        <v>NARRAGANSETT BAY COMMISSION</v>
      </c>
      <c r="L208" t="str">
        <f>"180 SOUTH MAIN STREET SEWER"</f>
        <v>180 SOUTH MAIN STREET SEWER</v>
      </c>
      <c r="M208" t="str">
        <f>"MFUSCO"</f>
        <v>MFUSCO</v>
      </c>
    </row>
    <row r="209" spans="1:13" x14ac:dyDescent="0.25">
      <c r="I209"/>
      <c r="J209" s="6">
        <f>SUM(J204:J208)</f>
        <v>1868.93</v>
      </c>
    </row>
    <row r="210" spans="1:13" x14ac:dyDescent="0.25">
      <c r="I210"/>
      <c r="J210" s="3"/>
    </row>
    <row r="211" spans="1:13" x14ac:dyDescent="0.25">
      <c r="A211" t="str">
        <f t="shared" ref="A211:A216" si="102">"18"</f>
        <v>18</v>
      </c>
      <c r="B211" t="str">
        <f t="shared" ref="B211:B216" si="103">"10"</f>
        <v>10</v>
      </c>
      <c r="C211" t="str">
        <f t="shared" ref="C211:C216" si="104">"066"</f>
        <v>066</v>
      </c>
      <c r="D211" t="str">
        <f t="shared" ref="D211:D216" si="105">"3005118"</f>
        <v>3005118</v>
      </c>
      <c r="E211" t="str">
        <f t="shared" ref="E211:E216" si="106">"02"</f>
        <v>02</v>
      </c>
      <c r="F211" t="str">
        <f t="shared" ref="F211:F216" si="107">"645200"</f>
        <v>645200</v>
      </c>
      <c r="G211" t="str">
        <f t="shared" ref="G211:G216" si="108">"00000"</f>
        <v>00000</v>
      </c>
      <c r="H211" t="str">
        <f>"09/08/17"</f>
        <v>09/08/17</v>
      </c>
      <c r="I211" t="str">
        <f>"139329357-031"</f>
        <v>139329357-031</v>
      </c>
      <c r="J211" s="3">
        <v>6668</v>
      </c>
      <c r="K211" t="str">
        <f t="shared" ref="K211:K216" si="109">"UNITED RENTALS (NORTH AMERICA) INC"</f>
        <v>UNITED RENTALS (NORTH AMERICA) INC</v>
      </c>
      <c r="L211" t="str">
        <f t="shared" ref="L211:L216" si="110">"generator rental"</f>
        <v>generator rental</v>
      </c>
      <c r="M211" t="str">
        <f t="shared" ref="M211:M216" si="111">"MFUSCO"</f>
        <v>MFUSCO</v>
      </c>
    </row>
    <row r="212" spans="1:13" x14ac:dyDescent="0.25">
      <c r="A212" t="str">
        <f t="shared" si="102"/>
        <v>18</v>
      </c>
      <c r="B212" t="str">
        <f t="shared" si="103"/>
        <v>10</v>
      </c>
      <c r="C212" t="str">
        <f t="shared" si="104"/>
        <v>066</v>
      </c>
      <c r="D212" t="str">
        <f t="shared" si="105"/>
        <v>3005118</v>
      </c>
      <c r="E212" t="str">
        <f t="shared" si="106"/>
        <v>02</v>
      </c>
      <c r="F212" t="str">
        <f t="shared" si="107"/>
        <v>645200</v>
      </c>
      <c r="G212" t="str">
        <f t="shared" si="108"/>
        <v>00000</v>
      </c>
      <c r="H212" t="str">
        <f>"09/12/17"</f>
        <v>09/12/17</v>
      </c>
      <c r="I212" t="str">
        <f>"139329357-032"</f>
        <v>139329357-032</v>
      </c>
      <c r="J212" s="3">
        <v>6668</v>
      </c>
      <c r="K212" t="str">
        <f t="shared" si="109"/>
        <v>UNITED RENTALS (NORTH AMERICA) INC</v>
      </c>
      <c r="L212" t="str">
        <f t="shared" si="110"/>
        <v>generator rental</v>
      </c>
      <c r="M212" t="str">
        <f t="shared" si="111"/>
        <v>MFUSCO</v>
      </c>
    </row>
    <row r="213" spans="1:13" x14ac:dyDescent="0.25">
      <c r="A213" t="str">
        <f t="shared" si="102"/>
        <v>18</v>
      </c>
      <c r="B213" t="str">
        <f t="shared" si="103"/>
        <v>10</v>
      </c>
      <c r="C213" t="str">
        <f t="shared" si="104"/>
        <v>066</v>
      </c>
      <c r="D213" t="str">
        <f t="shared" si="105"/>
        <v>3005118</v>
      </c>
      <c r="E213" t="str">
        <f t="shared" si="106"/>
        <v>02</v>
      </c>
      <c r="F213" t="str">
        <f t="shared" si="107"/>
        <v>645200</v>
      </c>
      <c r="G213" t="str">
        <f t="shared" si="108"/>
        <v>00000</v>
      </c>
      <c r="H213" t="str">
        <f>"10/03/17"</f>
        <v>10/03/17</v>
      </c>
      <c r="I213" t="str">
        <f>"139329357-030"</f>
        <v>139329357-030</v>
      </c>
      <c r="J213" s="3">
        <v>6668</v>
      </c>
      <c r="K213" t="str">
        <f t="shared" si="109"/>
        <v>UNITED RENTALS (NORTH AMERICA) INC</v>
      </c>
      <c r="L213" t="str">
        <f t="shared" si="110"/>
        <v>generator rental</v>
      </c>
      <c r="M213" t="str">
        <f t="shared" si="111"/>
        <v>MFUSCO</v>
      </c>
    </row>
    <row r="214" spans="1:13" x14ac:dyDescent="0.25">
      <c r="A214" t="str">
        <f t="shared" si="102"/>
        <v>18</v>
      </c>
      <c r="B214" t="str">
        <f t="shared" si="103"/>
        <v>10</v>
      </c>
      <c r="C214" t="str">
        <f t="shared" si="104"/>
        <v>066</v>
      </c>
      <c r="D214" t="str">
        <f t="shared" si="105"/>
        <v>3005118</v>
      </c>
      <c r="E214" t="str">
        <f t="shared" si="106"/>
        <v>02</v>
      </c>
      <c r="F214" t="str">
        <f t="shared" si="107"/>
        <v>645200</v>
      </c>
      <c r="G214" t="str">
        <f t="shared" si="108"/>
        <v>00000</v>
      </c>
      <c r="H214" t="str">
        <f>"11/07/17"</f>
        <v>11/07/17</v>
      </c>
      <c r="I214" t="str">
        <f>"139329357-033"</f>
        <v>139329357-033</v>
      </c>
      <c r="J214" s="3">
        <v>6668</v>
      </c>
      <c r="K214" t="str">
        <f t="shared" si="109"/>
        <v>UNITED RENTALS (NORTH AMERICA) INC</v>
      </c>
      <c r="L214" t="str">
        <f t="shared" si="110"/>
        <v>generator rental</v>
      </c>
      <c r="M214" t="str">
        <f t="shared" si="111"/>
        <v>MFUSCO</v>
      </c>
    </row>
    <row r="215" spans="1:13" x14ac:dyDescent="0.25">
      <c r="A215" t="str">
        <f t="shared" si="102"/>
        <v>18</v>
      </c>
      <c r="B215" t="str">
        <f t="shared" si="103"/>
        <v>10</v>
      </c>
      <c r="C215" t="str">
        <f t="shared" si="104"/>
        <v>066</v>
      </c>
      <c r="D215" t="str">
        <f t="shared" si="105"/>
        <v>3005118</v>
      </c>
      <c r="E215" t="str">
        <f t="shared" si="106"/>
        <v>02</v>
      </c>
      <c r="F215" t="str">
        <f t="shared" si="107"/>
        <v>645200</v>
      </c>
      <c r="G215" t="str">
        <f t="shared" si="108"/>
        <v>00000</v>
      </c>
      <c r="H215" t="str">
        <f>"11/07/17"</f>
        <v>11/07/17</v>
      </c>
      <c r="I215" t="str">
        <f>"139329357-034"</f>
        <v>139329357-034</v>
      </c>
      <c r="J215" s="3">
        <v>6668</v>
      </c>
      <c r="K215" t="str">
        <f t="shared" si="109"/>
        <v>UNITED RENTALS (NORTH AMERICA) INC</v>
      </c>
      <c r="L215" t="str">
        <f t="shared" si="110"/>
        <v>generator rental</v>
      </c>
      <c r="M215" t="str">
        <f t="shared" si="111"/>
        <v>MFUSCO</v>
      </c>
    </row>
    <row r="216" spans="1:13" x14ac:dyDescent="0.25">
      <c r="A216" t="str">
        <f t="shared" si="102"/>
        <v>18</v>
      </c>
      <c r="B216" t="str">
        <f t="shared" si="103"/>
        <v>10</v>
      </c>
      <c r="C216" t="str">
        <f t="shared" si="104"/>
        <v>066</v>
      </c>
      <c r="D216" t="str">
        <f t="shared" si="105"/>
        <v>3005118</v>
      </c>
      <c r="E216" t="str">
        <f t="shared" si="106"/>
        <v>02</v>
      </c>
      <c r="F216" t="str">
        <f t="shared" si="107"/>
        <v>645200</v>
      </c>
      <c r="G216" t="str">
        <f t="shared" si="108"/>
        <v>00000</v>
      </c>
      <c r="H216" t="str">
        <f>"11/07/17"</f>
        <v>11/07/17</v>
      </c>
      <c r="I216" t="str">
        <f>"139329357-035"</f>
        <v>139329357-035</v>
      </c>
      <c r="J216" s="3">
        <v>160.22999999999999</v>
      </c>
      <c r="K216" t="str">
        <f t="shared" si="109"/>
        <v>UNITED RENTALS (NORTH AMERICA) INC</v>
      </c>
      <c r="L216" t="str">
        <f t="shared" si="110"/>
        <v>generator rental</v>
      </c>
      <c r="M216" t="str">
        <f t="shared" si="111"/>
        <v>MFUSCO</v>
      </c>
    </row>
    <row r="217" spans="1:13" x14ac:dyDescent="0.25">
      <c r="I217"/>
      <c r="J217" s="6">
        <f>SUM(J211:J216)</f>
        <v>33500.230000000003</v>
      </c>
    </row>
    <row r="218" spans="1:13" x14ac:dyDescent="0.25">
      <c r="I218"/>
      <c r="J218" s="3"/>
    </row>
    <row r="219" spans="1:13" x14ac:dyDescent="0.25">
      <c r="A219" t="str">
        <f t="shared" ref="A219:A228" si="112">"18"</f>
        <v>18</v>
      </c>
      <c r="B219" t="str">
        <f t="shared" ref="B219:B228" si="113">"10"</f>
        <v>10</v>
      </c>
      <c r="C219" t="str">
        <f t="shared" ref="C219:C228" si="114">"066"</f>
        <v>066</v>
      </c>
      <c r="D219" t="str">
        <f t="shared" ref="D219:D228" si="115">"3005118"</f>
        <v>3005118</v>
      </c>
      <c r="E219" t="str">
        <f t="shared" ref="E219:E228" si="116">"02"</f>
        <v>02</v>
      </c>
      <c r="F219" t="str">
        <f t="shared" ref="F219:F228" si="117">"645310"</f>
        <v>645310</v>
      </c>
      <c r="G219" t="str">
        <f t="shared" ref="G219:G228" si="118">"00000"</f>
        <v>00000</v>
      </c>
      <c r="H219" t="str">
        <f t="shared" ref="H219:H228" si="119">"01/26/18"</f>
        <v>01/26/18</v>
      </c>
      <c r="I219" t="str">
        <f>"289645"</f>
        <v>289645</v>
      </c>
      <c r="J219" s="3">
        <v>2500</v>
      </c>
      <c r="K219" t="str">
        <f t="shared" ref="K219:K228" si="120">"NAVISITE INC"</f>
        <v>NAVISITE INC</v>
      </c>
      <c r="L219" t="str">
        <f>"APA-13851  FY18  NCIS VAULT, END-TO-END, 10TB COMMITMENT - 36 MOS. @ $2,500.00 = $90,000.00"</f>
        <v>APA-13851  FY18  NCIS VAULT, END-TO-END, 10TB COMMITMENT - 36 MOS. @ $2,500.00 = $90,000.00</v>
      </c>
      <c r="M219" t="str">
        <f t="shared" ref="M219:M228" si="121">"SVALLANT"</f>
        <v>SVALLANT</v>
      </c>
    </row>
    <row r="220" spans="1:13" x14ac:dyDescent="0.25">
      <c r="A220" t="str">
        <f t="shared" si="112"/>
        <v>18</v>
      </c>
      <c r="B220" t="str">
        <f t="shared" si="113"/>
        <v>10</v>
      </c>
      <c r="C220" t="str">
        <f t="shared" si="114"/>
        <v>066</v>
      </c>
      <c r="D220" t="str">
        <f t="shared" si="115"/>
        <v>3005118</v>
      </c>
      <c r="E220" t="str">
        <f t="shared" si="116"/>
        <v>02</v>
      </c>
      <c r="F220" t="str">
        <f t="shared" si="117"/>
        <v>645310</v>
      </c>
      <c r="G220" t="str">
        <f t="shared" si="118"/>
        <v>00000</v>
      </c>
      <c r="H220" t="str">
        <f t="shared" si="119"/>
        <v>01/26/18</v>
      </c>
      <c r="I220" t="str">
        <f>"289892"</f>
        <v>289892</v>
      </c>
      <c r="J220" s="3">
        <v>269.10000000000002</v>
      </c>
      <c r="K220" t="str">
        <f t="shared" si="120"/>
        <v>NAVISITE INC</v>
      </c>
      <c r="L220" t="str">
        <f>"APA-13851  FY18  ACT-MAINT MONTHLY MAINTENANCE ON THE ADDITIONAL 5TB FOR ON PREMISE DEVICE AT RIAG 12/1/16-6/30/17"</f>
        <v>APA-13851  FY18  ACT-MAINT MONTHLY MAINTENANCE ON THE ADDITIONAL 5TB FOR ON PREMISE DEVICE AT RIAG 12/1/16-6/30/17</v>
      </c>
      <c r="M220" t="str">
        <f t="shared" si="121"/>
        <v>SVALLANT</v>
      </c>
    </row>
    <row r="221" spans="1:13" x14ac:dyDescent="0.25">
      <c r="A221" t="str">
        <f t="shared" si="112"/>
        <v>18</v>
      </c>
      <c r="B221" t="str">
        <f t="shared" si="113"/>
        <v>10</v>
      </c>
      <c r="C221" t="str">
        <f t="shared" si="114"/>
        <v>066</v>
      </c>
      <c r="D221" t="str">
        <f t="shared" si="115"/>
        <v>3005118</v>
      </c>
      <c r="E221" t="str">
        <f t="shared" si="116"/>
        <v>02</v>
      </c>
      <c r="F221" t="str">
        <f t="shared" si="117"/>
        <v>645310</v>
      </c>
      <c r="G221" t="str">
        <f t="shared" si="118"/>
        <v>00000</v>
      </c>
      <c r="H221" t="str">
        <f t="shared" si="119"/>
        <v>01/26/18</v>
      </c>
      <c r="I221" t="str">
        <f>"290925"</f>
        <v>290925</v>
      </c>
      <c r="J221" s="3">
        <v>2500</v>
      </c>
      <c r="K221" t="str">
        <f t="shared" si="120"/>
        <v>NAVISITE INC</v>
      </c>
      <c r="L221" t="str">
        <f>"APA-13851  FY18  NCIS VAULT, END-TO-END, 10TB COMMITMENT - 36 MOS. @ $2,500.00 = $90,000.00"</f>
        <v>APA-13851  FY18  NCIS VAULT, END-TO-END, 10TB COMMITMENT - 36 MOS. @ $2,500.00 = $90,000.00</v>
      </c>
      <c r="M221" t="str">
        <f t="shared" si="121"/>
        <v>SVALLANT</v>
      </c>
    </row>
    <row r="222" spans="1:13" x14ac:dyDescent="0.25">
      <c r="A222" t="str">
        <f t="shared" si="112"/>
        <v>18</v>
      </c>
      <c r="B222" t="str">
        <f t="shared" si="113"/>
        <v>10</v>
      </c>
      <c r="C222" t="str">
        <f t="shared" si="114"/>
        <v>066</v>
      </c>
      <c r="D222" t="str">
        <f t="shared" si="115"/>
        <v>3005118</v>
      </c>
      <c r="E222" t="str">
        <f t="shared" si="116"/>
        <v>02</v>
      </c>
      <c r="F222" t="str">
        <f t="shared" si="117"/>
        <v>645310</v>
      </c>
      <c r="G222" t="str">
        <f t="shared" si="118"/>
        <v>00000</v>
      </c>
      <c r="H222" t="str">
        <f t="shared" si="119"/>
        <v>01/26/18</v>
      </c>
      <c r="I222" t="str">
        <f>"291175"</f>
        <v>291175</v>
      </c>
      <c r="J222" s="3">
        <v>269.10000000000002</v>
      </c>
      <c r="K222" t="str">
        <f t="shared" si="120"/>
        <v>NAVISITE INC</v>
      </c>
      <c r="L222" t="str">
        <f>"APA-13851  FY18  ACT-MAINT MONTHLY MAINTENANCE ON THE ADDITIONAL 5TB FOR ON PREMISE DEVICE AT RIAG 12/1/16-6/30/17"</f>
        <v>APA-13851  FY18  ACT-MAINT MONTHLY MAINTENANCE ON THE ADDITIONAL 5TB FOR ON PREMISE DEVICE AT RIAG 12/1/16-6/30/17</v>
      </c>
      <c r="M222" t="str">
        <f t="shared" si="121"/>
        <v>SVALLANT</v>
      </c>
    </row>
    <row r="223" spans="1:13" x14ac:dyDescent="0.25">
      <c r="A223" t="str">
        <f t="shared" si="112"/>
        <v>18</v>
      </c>
      <c r="B223" t="str">
        <f t="shared" si="113"/>
        <v>10</v>
      </c>
      <c r="C223" t="str">
        <f t="shared" si="114"/>
        <v>066</v>
      </c>
      <c r="D223" t="str">
        <f t="shared" si="115"/>
        <v>3005118</v>
      </c>
      <c r="E223" t="str">
        <f t="shared" si="116"/>
        <v>02</v>
      </c>
      <c r="F223" t="str">
        <f t="shared" si="117"/>
        <v>645310</v>
      </c>
      <c r="G223" t="str">
        <f t="shared" si="118"/>
        <v>00000</v>
      </c>
      <c r="H223" t="str">
        <f t="shared" si="119"/>
        <v>01/26/18</v>
      </c>
      <c r="I223" t="str">
        <f>"292258"</f>
        <v>292258</v>
      </c>
      <c r="J223" s="3">
        <v>2500</v>
      </c>
      <c r="K223" t="str">
        <f t="shared" si="120"/>
        <v>NAVISITE INC</v>
      </c>
      <c r="L223" t="str">
        <f>"APA-13851  FY18  NCIS VAULT, END-TO-END, 10TB COMMITMENT - 36 MOS. @ $2,500.00 = $90,000.00"</f>
        <v>APA-13851  FY18  NCIS VAULT, END-TO-END, 10TB COMMITMENT - 36 MOS. @ $2,500.00 = $90,000.00</v>
      </c>
      <c r="M223" t="str">
        <f t="shared" si="121"/>
        <v>SVALLANT</v>
      </c>
    </row>
    <row r="224" spans="1:13" x14ac:dyDescent="0.25">
      <c r="A224" t="str">
        <f t="shared" si="112"/>
        <v>18</v>
      </c>
      <c r="B224" t="str">
        <f t="shared" si="113"/>
        <v>10</v>
      </c>
      <c r="C224" t="str">
        <f t="shared" si="114"/>
        <v>066</v>
      </c>
      <c r="D224" t="str">
        <f t="shared" si="115"/>
        <v>3005118</v>
      </c>
      <c r="E224" t="str">
        <f t="shared" si="116"/>
        <v>02</v>
      </c>
      <c r="F224" t="str">
        <f t="shared" si="117"/>
        <v>645310</v>
      </c>
      <c r="G224" t="str">
        <f t="shared" si="118"/>
        <v>00000</v>
      </c>
      <c r="H224" t="str">
        <f t="shared" si="119"/>
        <v>01/26/18</v>
      </c>
      <c r="I224" t="str">
        <f>"292515"</f>
        <v>292515</v>
      </c>
      <c r="J224" s="3">
        <v>269.10000000000002</v>
      </c>
      <c r="K224" t="str">
        <f t="shared" si="120"/>
        <v>NAVISITE INC</v>
      </c>
      <c r="L224" t="str">
        <f>"APA-13851  FY18  ACT-MAINT MONTHLY MAINTENANCE ON THE ADDITIONAL 5TB FOR ON PREMISE DEVICE AT RIAG 12/1/16-6/30/17"</f>
        <v>APA-13851  FY18  ACT-MAINT MONTHLY MAINTENANCE ON THE ADDITIONAL 5TB FOR ON PREMISE DEVICE AT RIAG 12/1/16-6/30/17</v>
      </c>
      <c r="M224" t="str">
        <f t="shared" si="121"/>
        <v>SVALLANT</v>
      </c>
    </row>
    <row r="225" spans="1:13" x14ac:dyDescent="0.25">
      <c r="A225" t="str">
        <f t="shared" si="112"/>
        <v>18</v>
      </c>
      <c r="B225" t="str">
        <f t="shared" si="113"/>
        <v>10</v>
      </c>
      <c r="C225" t="str">
        <f t="shared" si="114"/>
        <v>066</v>
      </c>
      <c r="D225" t="str">
        <f t="shared" si="115"/>
        <v>3005118</v>
      </c>
      <c r="E225" t="str">
        <f t="shared" si="116"/>
        <v>02</v>
      </c>
      <c r="F225" t="str">
        <f t="shared" si="117"/>
        <v>645310</v>
      </c>
      <c r="G225" t="str">
        <f t="shared" si="118"/>
        <v>00000</v>
      </c>
      <c r="H225" t="str">
        <f t="shared" si="119"/>
        <v>01/26/18</v>
      </c>
      <c r="I225" t="str">
        <f>"293572"</f>
        <v>293572</v>
      </c>
      <c r="J225" s="3">
        <v>2500</v>
      </c>
      <c r="K225" t="str">
        <f t="shared" si="120"/>
        <v>NAVISITE INC</v>
      </c>
      <c r="L225" t="str">
        <f>"APA-13851  FY18  NCIS VAULT, END-TO-END, 10TB COMMITMENT - 36 MOS. @ $2,500.00 = $90,000.00"</f>
        <v>APA-13851  FY18  NCIS VAULT, END-TO-END, 10TB COMMITMENT - 36 MOS. @ $2,500.00 = $90,000.00</v>
      </c>
      <c r="M225" t="str">
        <f t="shared" si="121"/>
        <v>SVALLANT</v>
      </c>
    </row>
    <row r="226" spans="1:13" x14ac:dyDescent="0.25">
      <c r="A226" t="str">
        <f t="shared" si="112"/>
        <v>18</v>
      </c>
      <c r="B226" t="str">
        <f t="shared" si="113"/>
        <v>10</v>
      </c>
      <c r="C226" t="str">
        <f t="shared" si="114"/>
        <v>066</v>
      </c>
      <c r="D226" t="str">
        <f t="shared" si="115"/>
        <v>3005118</v>
      </c>
      <c r="E226" t="str">
        <f t="shared" si="116"/>
        <v>02</v>
      </c>
      <c r="F226" t="str">
        <f t="shared" si="117"/>
        <v>645310</v>
      </c>
      <c r="G226" t="str">
        <f t="shared" si="118"/>
        <v>00000</v>
      </c>
      <c r="H226" t="str">
        <f t="shared" si="119"/>
        <v>01/26/18</v>
      </c>
      <c r="I226" t="str">
        <f>"293830"</f>
        <v>293830</v>
      </c>
      <c r="J226" s="3">
        <v>269.10000000000002</v>
      </c>
      <c r="K226" t="str">
        <f t="shared" si="120"/>
        <v>NAVISITE INC</v>
      </c>
      <c r="L226" t="str">
        <f>"APA-13851  FY18  ACT-MAINT MONTHLY MAINTENANCE ON THE ADDITIONAL 5TB FOR ON PREMISE DEVICE AT RIAG 12/1/16-6/30/17"</f>
        <v>APA-13851  FY18  ACT-MAINT MONTHLY MAINTENANCE ON THE ADDITIONAL 5TB FOR ON PREMISE DEVICE AT RIAG 12/1/16-6/30/17</v>
      </c>
      <c r="M226" t="str">
        <f t="shared" si="121"/>
        <v>SVALLANT</v>
      </c>
    </row>
    <row r="227" spans="1:13" x14ac:dyDescent="0.25">
      <c r="A227" t="str">
        <f t="shared" si="112"/>
        <v>18</v>
      </c>
      <c r="B227" t="str">
        <f t="shared" si="113"/>
        <v>10</v>
      </c>
      <c r="C227" t="str">
        <f t="shared" si="114"/>
        <v>066</v>
      </c>
      <c r="D227" t="str">
        <f t="shared" si="115"/>
        <v>3005118</v>
      </c>
      <c r="E227" t="str">
        <f t="shared" si="116"/>
        <v>02</v>
      </c>
      <c r="F227" t="str">
        <f t="shared" si="117"/>
        <v>645310</v>
      </c>
      <c r="G227" t="str">
        <f t="shared" si="118"/>
        <v>00000</v>
      </c>
      <c r="H227" t="str">
        <f t="shared" si="119"/>
        <v>01/26/18</v>
      </c>
      <c r="I227" t="str">
        <f>"294847"</f>
        <v>294847</v>
      </c>
      <c r="J227" s="3">
        <v>2500</v>
      </c>
      <c r="K227" t="str">
        <f t="shared" si="120"/>
        <v>NAVISITE INC</v>
      </c>
      <c r="L227" t="str">
        <f>"APA-13851  FY18  NCIS VAULT, END-TO-END, 10TB COMMITMENT - 36 MOS. @ $2,500.00 = $90,000.00"</f>
        <v>APA-13851  FY18  NCIS VAULT, END-TO-END, 10TB COMMITMENT - 36 MOS. @ $2,500.00 = $90,000.00</v>
      </c>
      <c r="M227" t="str">
        <f t="shared" si="121"/>
        <v>SVALLANT</v>
      </c>
    </row>
    <row r="228" spans="1:13" x14ac:dyDescent="0.25">
      <c r="A228" t="str">
        <f t="shared" si="112"/>
        <v>18</v>
      </c>
      <c r="B228" t="str">
        <f t="shared" si="113"/>
        <v>10</v>
      </c>
      <c r="C228" t="str">
        <f t="shared" si="114"/>
        <v>066</v>
      </c>
      <c r="D228" t="str">
        <f t="shared" si="115"/>
        <v>3005118</v>
      </c>
      <c r="E228" t="str">
        <f t="shared" si="116"/>
        <v>02</v>
      </c>
      <c r="F228" t="str">
        <f t="shared" si="117"/>
        <v>645310</v>
      </c>
      <c r="G228" t="str">
        <f t="shared" si="118"/>
        <v>00000</v>
      </c>
      <c r="H228" t="str">
        <f t="shared" si="119"/>
        <v>01/26/18</v>
      </c>
      <c r="I228" t="str">
        <f>"295110"</f>
        <v>295110</v>
      </c>
      <c r="J228" s="3">
        <v>269.10000000000002</v>
      </c>
      <c r="K228" t="str">
        <f t="shared" si="120"/>
        <v>NAVISITE INC</v>
      </c>
      <c r="L228" t="str">
        <f>"APA-13851  FY18  ACT-MAINT MONTHLY MAINTENANCE ON THE ADDITIONAL 5TB FOR ON PREMISE DEVICE AT RIAG 12/1/16-6/30/17"</f>
        <v>APA-13851  FY18  ACT-MAINT MONTHLY MAINTENANCE ON THE ADDITIONAL 5TB FOR ON PREMISE DEVICE AT RIAG 12/1/16-6/30/17</v>
      </c>
      <c r="M228" t="str">
        <f t="shared" si="121"/>
        <v>SVALLANT</v>
      </c>
    </row>
    <row r="229" spans="1:13" x14ac:dyDescent="0.25">
      <c r="I229"/>
      <c r="J229" s="6">
        <f>SUM(J219:J228)</f>
        <v>13845.500000000002</v>
      </c>
    </row>
    <row r="230" spans="1:13" x14ac:dyDescent="0.25">
      <c r="I230"/>
      <c r="J230" s="3"/>
    </row>
    <row r="231" spans="1:13" x14ac:dyDescent="0.25">
      <c r="A231" t="str">
        <f t="shared" ref="A231:A236" si="122">"18"</f>
        <v>18</v>
      </c>
      <c r="B231" t="str">
        <f t="shared" ref="B231:B236" si="123">"10"</f>
        <v>10</v>
      </c>
      <c r="C231" t="str">
        <f t="shared" ref="C231:C236" si="124">"066"</f>
        <v>066</v>
      </c>
      <c r="D231" t="str">
        <f t="shared" ref="D231:D236" si="125">"3005118"</f>
        <v>3005118</v>
      </c>
      <c r="E231" t="str">
        <f t="shared" ref="E231:E236" si="126">"02"</f>
        <v>02</v>
      </c>
      <c r="F231" t="str">
        <f t="shared" ref="F231:F236" si="127">"648100"</f>
        <v>648100</v>
      </c>
      <c r="G231" t="str">
        <f t="shared" ref="G231:G236" si="128">"00000"</f>
        <v>00000</v>
      </c>
      <c r="H231" t="str">
        <f>"08/08/17"</f>
        <v>08/08/17</v>
      </c>
      <c r="I231" t="str">
        <f>"1866SXA0022"</f>
        <v>1866SXA0022</v>
      </c>
      <c r="J231" s="3">
        <v>89.27</v>
      </c>
      <c r="K231" t="str">
        <f t="shared" ref="K231:K236" si="129">"VERIZON NEW ENGLAND INC"</f>
        <v>VERIZON NEW ENGLAND INC</v>
      </c>
      <c r="L231" t="str">
        <f>"ACCT: 401 831 1058 807 005 7 - JUN 25-JUL 24, 2017 - MONTHLY PAYMENT"</f>
        <v>ACCT: 401 831 1058 807 005 7 - JUN 25-JUL 24, 2017 - MONTHLY PAYMENT</v>
      </c>
      <c r="M231" t="str">
        <f t="shared" ref="M231:M236" si="130">"SVALLANT"</f>
        <v>SVALLANT</v>
      </c>
    </row>
    <row r="232" spans="1:13" x14ac:dyDescent="0.25">
      <c r="A232" t="str">
        <f t="shared" si="122"/>
        <v>18</v>
      </c>
      <c r="B232" t="str">
        <f t="shared" si="123"/>
        <v>10</v>
      </c>
      <c r="C232" t="str">
        <f t="shared" si="124"/>
        <v>066</v>
      </c>
      <c r="D232" t="str">
        <f t="shared" si="125"/>
        <v>3005118</v>
      </c>
      <c r="E232" t="str">
        <f t="shared" si="126"/>
        <v>02</v>
      </c>
      <c r="F232" t="str">
        <f t="shared" si="127"/>
        <v>648100</v>
      </c>
      <c r="G232" t="str">
        <f t="shared" si="128"/>
        <v>00000</v>
      </c>
      <c r="H232" t="str">
        <f>"09/12/17"</f>
        <v>09/12/17</v>
      </c>
      <c r="I232" t="str">
        <f>"1866SXA0060"</f>
        <v>1866SXA0060</v>
      </c>
      <c r="J232" s="3">
        <v>89.86</v>
      </c>
      <c r="K232" t="str">
        <f t="shared" si="129"/>
        <v>VERIZON NEW ENGLAND INC</v>
      </c>
      <c r="L232" t="str">
        <f>"ACCT: 401 831 1058 807 005 7 - 7/25/17-8/24/17 MONTHLY PAYMENT"</f>
        <v>ACCT: 401 831 1058 807 005 7 - 7/25/17-8/24/17 MONTHLY PAYMENT</v>
      </c>
      <c r="M232" t="str">
        <f t="shared" si="130"/>
        <v>SVALLANT</v>
      </c>
    </row>
    <row r="233" spans="1:13" x14ac:dyDescent="0.25">
      <c r="A233" t="str">
        <f t="shared" si="122"/>
        <v>18</v>
      </c>
      <c r="B233" t="str">
        <f t="shared" si="123"/>
        <v>10</v>
      </c>
      <c r="C233" t="str">
        <f t="shared" si="124"/>
        <v>066</v>
      </c>
      <c r="D233" t="str">
        <f t="shared" si="125"/>
        <v>3005118</v>
      </c>
      <c r="E233" t="str">
        <f t="shared" si="126"/>
        <v>02</v>
      </c>
      <c r="F233" t="str">
        <f t="shared" si="127"/>
        <v>648100</v>
      </c>
      <c r="G233" t="str">
        <f t="shared" si="128"/>
        <v>00000</v>
      </c>
      <c r="H233" t="str">
        <f>"10/06/17"</f>
        <v>10/06/17</v>
      </c>
      <c r="I233" t="str">
        <f>"1866SXA0077"</f>
        <v>1866SXA0077</v>
      </c>
      <c r="J233" s="3">
        <v>87.31</v>
      </c>
      <c r="K233" t="str">
        <f t="shared" si="129"/>
        <v>VERIZON NEW ENGLAND INC</v>
      </c>
      <c r="L233" t="str">
        <f>"ACCT: 401 831 1058 807 005 7 - 8/25/17-9/24/17 MONTHLY PAYMENT"</f>
        <v>ACCT: 401 831 1058 807 005 7 - 8/25/17-9/24/17 MONTHLY PAYMENT</v>
      </c>
      <c r="M233" t="str">
        <f t="shared" si="130"/>
        <v>SVALLANT</v>
      </c>
    </row>
    <row r="234" spans="1:13" x14ac:dyDescent="0.25">
      <c r="A234" t="str">
        <f t="shared" si="122"/>
        <v>18</v>
      </c>
      <c r="B234" t="str">
        <f t="shared" si="123"/>
        <v>10</v>
      </c>
      <c r="C234" t="str">
        <f t="shared" si="124"/>
        <v>066</v>
      </c>
      <c r="D234" t="str">
        <f t="shared" si="125"/>
        <v>3005118</v>
      </c>
      <c r="E234" t="str">
        <f t="shared" si="126"/>
        <v>02</v>
      </c>
      <c r="F234" t="str">
        <f t="shared" si="127"/>
        <v>648100</v>
      </c>
      <c r="G234" t="str">
        <f t="shared" si="128"/>
        <v>00000</v>
      </c>
      <c r="H234" t="str">
        <f>"11/07/17"</f>
        <v>11/07/17</v>
      </c>
      <c r="I234" t="str">
        <f>"1866SXA0110"</f>
        <v>1866SXA0110</v>
      </c>
      <c r="J234" s="3">
        <v>87.43</v>
      </c>
      <c r="K234" t="str">
        <f t="shared" si="129"/>
        <v>VERIZON NEW ENGLAND INC</v>
      </c>
      <c r="L234" t="str">
        <f>"ACCT: 401 831 1058 807 005 7 - 9/25/17-10/24/17 MONTHLY PAYMENT"</f>
        <v>ACCT: 401 831 1058 807 005 7 - 9/25/17-10/24/17 MONTHLY PAYMENT</v>
      </c>
      <c r="M234" t="str">
        <f t="shared" si="130"/>
        <v>SVALLANT</v>
      </c>
    </row>
    <row r="235" spans="1:13" x14ac:dyDescent="0.25">
      <c r="A235" t="str">
        <f t="shared" si="122"/>
        <v>18</v>
      </c>
      <c r="B235" t="str">
        <f t="shared" si="123"/>
        <v>10</v>
      </c>
      <c r="C235" t="str">
        <f t="shared" si="124"/>
        <v>066</v>
      </c>
      <c r="D235" t="str">
        <f t="shared" si="125"/>
        <v>3005118</v>
      </c>
      <c r="E235" t="str">
        <f t="shared" si="126"/>
        <v>02</v>
      </c>
      <c r="F235" t="str">
        <f t="shared" si="127"/>
        <v>648100</v>
      </c>
      <c r="G235" t="str">
        <f t="shared" si="128"/>
        <v>00000</v>
      </c>
      <c r="H235" t="str">
        <f>"12/12/17"</f>
        <v>12/12/17</v>
      </c>
      <c r="I235" t="str">
        <f>"1866SXA0146"</f>
        <v>1866SXA0146</v>
      </c>
      <c r="J235" s="3">
        <v>87.12</v>
      </c>
      <c r="K235" t="str">
        <f t="shared" si="129"/>
        <v>VERIZON NEW ENGLAND INC</v>
      </c>
      <c r="L235" t="str">
        <f>"ACCT: 401 831 1058 807 005 7 - 10/25/17-11/24/17 MONTHLY PAYMENT"</f>
        <v>ACCT: 401 831 1058 807 005 7 - 10/25/17-11/24/17 MONTHLY PAYMENT</v>
      </c>
      <c r="M235" t="str">
        <f t="shared" si="130"/>
        <v>SVALLANT</v>
      </c>
    </row>
    <row r="236" spans="1:13" x14ac:dyDescent="0.25">
      <c r="A236" t="str">
        <f t="shared" si="122"/>
        <v>18</v>
      </c>
      <c r="B236" t="str">
        <f t="shared" si="123"/>
        <v>10</v>
      </c>
      <c r="C236" t="str">
        <f t="shared" si="124"/>
        <v>066</v>
      </c>
      <c r="D236" t="str">
        <f t="shared" si="125"/>
        <v>3005118</v>
      </c>
      <c r="E236" t="str">
        <f t="shared" si="126"/>
        <v>02</v>
      </c>
      <c r="F236" t="str">
        <f t="shared" si="127"/>
        <v>648100</v>
      </c>
      <c r="G236" t="str">
        <f t="shared" si="128"/>
        <v>00000</v>
      </c>
      <c r="H236" t="str">
        <f>"01/09/18"</f>
        <v>01/09/18</v>
      </c>
      <c r="I236" t="str">
        <f>"1866SXA0179"</f>
        <v>1866SXA0179</v>
      </c>
      <c r="J236" s="3">
        <v>91.33</v>
      </c>
      <c r="K236" t="str">
        <f t="shared" si="129"/>
        <v>VERIZON NEW ENGLAND INC</v>
      </c>
      <c r="L236" t="str">
        <f>"ACCT: 401 831 1058 807 005 7 - 11/25/17-12/24/17 MONTHLY PAYMENT"</f>
        <v>ACCT: 401 831 1058 807 005 7 - 11/25/17-12/24/17 MONTHLY PAYMENT</v>
      </c>
      <c r="M236" t="str">
        <f t="shared" si="130"/>
        <v>SVALLANT</v>
      </c>
    </row>
    <row r="237" spans="1:13" x14ac:dyDescent="0.25">
      <c r="I237"/>
      <c r="J237" s="6">
        <f>SUM(J231:J236)</f>
        <v>532.32000000000005</v>
      </c>
    </row>
    <row r="238" spans="1:13" x14ac:dyDescent="0.25">
      <c r="I238"/>
      <c r="J238" s="3"/>
    </row>
    <row r="239" spans="1:13" x14ac:dyDescent="0.25">
      <c r="A239" t="str">
        <f>"18"</f>
        <v>18</v>
      </c>
      <c r="B239" t="str">
        <f>"10"</f>
        <v>10</v>
      </c>
      <c r="C239" t="str">
        <f>"066"</f>
        <v>066</v>
      </c>
      <c r="D239" t="str">
        <f>"3005118"</f>
        <v>3005118</v>
      </c>
      <c r="E239" t="str">
        <f>"02"</f>
        <v>02</v>
      </c>
      <c r="F239" t="str">
        <f>"660010"</f>
        <v>660010</v>
      </c>
      <c r="G239" t="str">
        <f>"00000"</f>
        <v>00000</v>
      </c>
      <c r="H239" t="str">
        <f>"08/25/17"</f>
        <v>08/25/17</v>
      </c>
      <c r="I239" t="str">
        <f>"17-9019"</f>
        <v>17-9019</v>
      </c>
      <c r="J239" s="4">
        <v>154863.67999999999</v>
      </c>
      <c r="K239" t="str">
        <f>"CALSON CONSTRUCTION CORPORATION"</f>
        <v>CALSON CONSTRUCTION CORPORATION</v>
      </c>
      <c r="L239" t="str">
        <f>"GENERATOR AND SERVICE UPGRADE FOR 180 SOUTH MAIN STREET - BID 7551093"</f>
        <v>GENERATOR AND SERVICE UPGRADE FOR 180 SOUTH MAIN STREET - BID 7551093</v>
      </c>
      <c r="M239" t="str">
        <f>"SVALLANT"</f>
        <v>SVALLANT</v>
      </c>
    </row>
    <row r="240" spans="1:13" x14ac:dyDescent="0.25">
      <c r="A240" t="str">
        <f>"18"</f>
        <v>18</v>
      </c>
      <c r="B240" t="str">
        <f>"10"</f>
        <v>10</v>
      </c>
      <c r="C240" t="str">
        <f>"066"</f>
        <v>066</v>
      </c>
      <c r="D240" t="str">
        <f>"3005118"</f>
        <v>3005118</v>
      </c>
      <c r="E240" t="str">
        <f>"02"</f>
        <v>02</v>
      </c>
      <c r="F240" t="str">
        <f>"660010"</f>
        <v>660010</v>
      </c>
      <c r="G240" t="str">
        <f>"00000"</f>
        <v>00000</v>
      </c>
      <c r="H240" t="str">
        <f>"10/20/17"</f>
        <v>10/20/17</v>
      </c>
      <c r="I240" t="str">
        <f>"17-9032"</f>
        <v>17-9032</v>
      </c>
      <c r="J240" s="4">
        <v>292329.25</v>
      </c>
      <c r="K240" t="str">
        <f>"CALSON CONSTRUCTION CORPORATION"</f>
        <v>CALSON CONSTRUCTION CORPORATION</v>
      </c>
      <c r="L240" t="str">
        <f>"GENERATOR AND SERVICE UPGRADE FOR 180 SOUTH MAIN STREET - BID 7551093"</f>
        <v>GENERATOR AND SERVICE UPGRADE FOR 180 SOUTH MAIN STREET - BID 7551093</v>
      </c>
      <c r="M240" t="str">
        <f>"SVALLANT"</f>
        <v>SVALLANT</v>
      </c>
    </row>
    <row r="241" spans="1:13" x14ac:dyDescent="0.25">
      <c r="A241" t="str">
        <f>"18"</f>
        <v>18</v>
      </c>
      <c r="B241" t="str">
        <f>"10"</f>
        <v>10</v>
      </c>
      <c r="C241" t="str">
        <f>"066"</f>
        <v>066</v>
      </c>
      <c r="D241" t="str">
        <f>"3005118"</f>
        <v>3005118</v>
      </c>
      <c r="E241" t="str">
        <f>"02"</f>
        <v>02</v>
      </c>
      <c r="F241" t="str">
        <f>"660010"</f>
        <v>660010</v>
      </c>
      <c r="G241" t="str">
        <f>"00000"</f>
        <v>00000</v>
      </c>
      <c r="H241" t="str">
        <f>"10/20/17"</f>
        <v>10/20/17</v>
      </c>
      <c r="I241" t="str">
        <f>"17-9035"</f>
        <v>17-9035</v>
      </c>
      <c r="J241" s="4">
        <v>92600.3</v>
      </c>
      <c r="K241" t="str">
        <f>"CALSON CONSTRUCTION CORPORATION"</f>
        <v>CALSON CONSTRUCTION CORPORATION</v>
      </c>
      <c r="L241" t="str">
        <f>"GENERATOR AND SERVICE UPGRADE FOR 180 SOUTH MAIN STREET - BID 7551093"</f>
        <v>GENERATOR AND SERVICE UPGRADE FOR 180 SOUTH MAIN STREET - BID 7551093</v>
      </c>
      <c r="M241" t="str">
        <f>"SVALLANT"</f>
        <v>SVALLANT</v>
      </c>
    </row>
    <row r="242" spans="1:13" x14ac:dyDescent="0.25">
      <c r="A242" t="str">
        <f>"18"</f>
        <v>18</v>
      </c>
      <c r="B242" t="str">
        <f>"10"</f>
        <v>10</v>
      </c>
      <c r="C242" t="str">
        <f>"066"</f>
        <v>066</v>
      </c>
      <c r="D242" t="str">
        <f>"3005118"</f>
        <v>3005118</v>
      </c>
      <c r="E242" t="str">
        <f>"02"</f>
        <v>02</v>
      </c>
      <c r="F242" t="str">
        <f>"660010"</f>
        <v>660010</v>
      </c>
      <c r="G242" t="str">
        <f>"00000"</f>
        <v>00000</v>
      </c>
      <c r="H242" t="str">
        <f>"10/20/17"</f>
        <v>10/20/17</v>
      </c>
      <c r="I242" t="str">
        <f>"17-9041"</f>
        <v>17-9041</v>
      </c>
      <c r="J242" s="4">
        <v>79300.3</v>
      </c>
      <c r="K242" t="str">
        <f>"CALSON CONSTRUCTION CORPORATION"</f>
        <v>CALSON CONSTRUCTION CORPORATION</v>
      </c>
      <c r="L242" t="str">
        <f>"GENERATOR AND SERVICE UPGRADE FOR 180 SOUTH MAIN STREET - BID 7551093"</f>
        <v>GENERATOR AND SERVICE UPGRADE FOR 180 SOUTH MAIN STREET - BID 7551093</v>
      </c>
      <c r="M242" t="str">
        <f>"SVALLANT"</f>
        <v>SVALLANT</v>
      </c>
    </row>
    <row r="243" spans="1:13" x14ac:dyDescent="0.25">
      <c r="A243" t="str">
        <f>"18"</f>
        <v>18</v>
      </c>
      <c r="B243" t="str">
        <f>"10"</f>
        <v>10</v>
      </c>
      <c r="C243" t="str">
        <f>"066"</f>
        <v>066</v>
      </c>
      <c r="D243" t="str">
        <f>"3005118"</f>
        <v>3005118</v>
      </c>
      <c r="E243" t="str">
        <f>"02"</f>
        <v>02</v>
      </c>
      <c r="F243" t="str">
        <f>"660010"</f>
        <v>660010</v>
      </c>
      <c r="G243" t="str">
        <f>"00000"</f>
        <v>00000</v>
      </c>
      <c r="H243" t="str">
        <f>"11/29/17"</f>
        <v>11/29/17</v>
      </c>
      <c r="I243" t="str">
        <f>"17-9065"</f>
        <v>17-9065</v>
      </c>
      <c r="J243" s="4">
        <v>56760.41</v>
      </c>
      <c r="K243" t="str">
        <f>"CALSON CONSTRUCTION CORPORATION"</f>
        <v>CALSON CONSTRUCTION CORPORATION</v>
      </c>
      <c r="L243" t="str">
        <f>"GENERATOR AND SERVICE UPGRADE FOR 180 SOUTH MAIN STREET - BID 7551093"</f>
        <v>GENERATOR AND SERVICE UPGRADE FOR 180 SOUTH MAIN STREET - BID 7551093</v>
      </c>
      <c r="M243" t="str">
        <f>"SVALLANT"</f>
        <v>SVALLANT</v>
      </c>
    </row>
    <row r="244" spans="1:13" x14ac:dyDescent="0.25">
      <c r="I244"/>
      <c r="J244" s="6">
        <f>SUM(J239:J243)</f>
        <v>675853.94000000006</v>
      </c>
    </row>
    <row r="245" spans="1:13" x14ac:dyDescent="0.25">
      <c r="I245"/>
      <c r="J245" s="3"/>
    </row>
    <row r="246" spans="1:13" x14ac:dyDescent="0.25">
      <c r="A246" t="str">
        <f>"18"</f>
        <v>18</v>
      </c>
      <c r="B246" t="str">
        <f>"10"</f>
        <v>10</v>
      </c>
      <c r="C246" t="str">
        <f>"066"</f>
        <v>066</v>
      </c>
      <c r="D246" t="str">
        <f>"3005118"</f>
        <v>3005118</v>
      </c>
      <c r="E246" t="str">
        <f>"02"</f>
        <v>02</v>
      </c>
      <c r="F246" t="str">
        <f>"660010"</f>
        <v>660010</v>
      </c>
      <c r="G246" t="str">
        <f>"AG001"</f>
        <v>AG001</v>
      </c>
      <c r="H246" t="str">
        <f>"09/15/17"</f>
        <v>09/15/17</v>
      </c>
      <c r="I246" t="str">
        <f>"201616-07"</f>
        <v>201616-07</v>
      </c>
      <c r="J246" s="3">
        <v>4167.78</v>
      </c>
      <c r="K246" t="str">
        <f>"R KEOUGH CONSTRUCTION INC"</f>
        <v>R KEOUGH CONSTRUCTION INC</v>
      </c>
      <c r="L246" t="str">
        <f>"7/1/17-6/30/18 -OWNER'S PROGRAM MANAGEMENT SERVICES FOR RIAG - 150 SOUTH MAIN ST BUILDING - IN ACCORDANCE TO PLANS AND SPECIFICATIONS OF PUBLIC SOLICITATION 7550943 - DATED 10/7/16 AND EXECU"</f>
        <v>7/1/17-6/30/18 -OWNER'S PROGRAM MANAGEMENT SERVICES FOR RIAG - 150 SOUTH MAIN ST BUILDING - IN ACCORDANCE TO PLANS AND SPECIFICATIONS OF PUBLIC SOLICITATION 7550943 - DATED 10/7/16 AND EXECU</v>
      </c>
      <c r="M246" t="str">
        <f>"SVALLANT"</f>
        <v>SVALLANT</v>
      </c>
    </row>
    <row r="247" spans="1:13" x14ac:dyDescent="0.25">
      <c r="A247" t="str">
        <f>"18"</f>
        <v>18</v>
      </c>
      <c r="B247" t="str">
        <f>"10"</f>
        <v>10</v>
      </c>
      <c r="C247" t="str">
        <f>"066"</f>
        <v>066</v>
      </c>
      <c r="D247" t="str">
        <f>"3005118"</f>
        <v>3005118</v>
      </c>
      <c r="E247" t="str">
        <f>"02"</f>
        <v>02</v>
      </c>
      <c r="F247" t="str">
        <f>"660010"</f>
        <v>660010</v>
      </c>
      <c r="G247" t="str">
        <f>"AG001"</f>
        <v>AG001</v>
      </c>
      <c r="H247" t="str">
        <f>"09/22/17"</f>
        <v>09/22/17</v>
      </c>
      <c r="I247" t="str">
        <f>"201616-08"</f>
        <v>201616-08</v>
      </c>
      <c r="J247" s="3">
        <v>4924.8</v>
      </c>
      <c r="K247" t="str">
        <f>"R KEOUGH CONSTRUCTION INC"</f>
        <v>R KEOUGH CONSTRUCTION INC</v>
      </c>
      <c r="L247" t="str">
        <f>"7/1/17-6/30/18 -OWNER'S PROGRAM MANAGEMENT SERVICES FOR RIAG - 150 SOUTH MAIN ST BUILDING - IN ACCORDANCE TO PLANS AND SPECIFICATIONS OF PUBLIC SOLICITATION 7550943 - DATED 10/7/16 AND EXECU"</f>
        <v>7/1/17-6/30/18 -OWNER'S PROGRAM MANAGEMENT SERVICES FOR RIAG - 150 SOUTH MAIN ST BUILDING - IN ACCORDANCE TO PLANS AND SPECIFICATIONS OF PUBLIC SOLICITATION 7550943 - DATED 10/7/16 AND EXECU</v>
      </c>
      <c r="M247" t="str">
        <f>"SVALLANT"</f>
        <v>SVALLANT</v>
      </c>
    </row>
    <row r="248" spans="1:13" x14ac:dyDescent="0.25">
      <c r="A248" t="str">
        <f>"18"</f>
        <v>18</v>
      </c>
      <c r="B248" t="str">
        <f>"10"</f>
        <v>10</v>
      </c>
      <c r="C248" t="str">
        <f>"066"</f>
        <v>066</v>
      </c>
      <c r="D248" t="str">
        <f>"3005118"</f>
        <v>3005118</v>
      </c>
      <c r="E248" t="str">
        <f>"02"</f>
        <v>02</v>
      </c>
      <c r="F248" t="str">
        <f>"660010"</f>
        <v>660010</v>
      </c>
      <c r="G248" t="str">
        <f>"AG001"</f>
        <v>AG001</v>
      </c>
      <c r="H248" t="str">
        <f>"12/08/17"</f>
        <v>12/08/17</v>
      </c>
      <c r="I248" t="str">
        <f>"201616-09"</f>
        <v>201616-09</v>
      </c>
      <c r="J248" s="3">
        <v>4317.97</v>
      </c>
      <c r="K248" t="str">
        <f>"R KEOUGH CONSTRUCTION INC"</f>
        <v>R KEOUGH CONSTRUCTION INC</v>
      </c>
      <c r="L248" t="str">
        <f>"7/1/17-6/30/18 -OWNER'S PROGRAM MANAGEMENT SERVICES FOR RIAG - 150 SOUTH MAIN ST BUILDING - IN ACCORDANCE TO PLANS AND SPECIFICATIONS OF PUBLIC SOLICITATION 7550943 - DATED 10/7/16 AND EXECU"</f>
        <v>7/1/17-6/30/18 -OWNER'S PROGRAM MANAGEMENT SERVICES FOR RIAG - 150 SOUTH MAIN ST BUILDING - IN ACCORDANCE TO PLANS AND SPECIFICATIONS OF PUBLIC SOLICITATION 7550943 - DATED 10/7/16 AND EXECU</v>
      </c>
      <c r="M248" t="str">
        <f>"SVALLANT"</f>
        <v>SVALLANT</v>
      </c>
    </row>
    <row r="249" spans="1:13" x14ac:dyDescent="0.25">
      <c r="A249" t="str">
        <f>"18"</f>
        <v>18</v>
      </c>
      <c r="B249" t="str">
        <f>"10"</f>
        <v>10</v>
      </c>
      <c r="C249" t="str">
        <f>"066"</f>
        <v>066</v>
      </c>
      <c r="D249" t="str">
        <f>"3005118"</f>
        <v>3005118</v>
      </c>
      <c r="E249" t="str">
        <f>"02"</f>
        <v>02</v>
      </c>
      <c r="F249" t="str">
        <f>"660010"</f>
        <v>660010</v>
      </c>
      <c r="G249" t="str">
        <f>"AG001"</f>
        <v>AG001</v>
      </c>
      <c r="H249" t="str">
        <f>"12/08/17"</f>
        <v>12/08/17</v>
      </c>
      <c r="I249" t="str">
        <f>"201616-10"</f>
        <v>201616-10</v>
      </c>
      <c r="J249" s="3">
        <v>5470.28</v>
      </c>
      <c r="K249" t="str">
        <f>"R KEOUGH CONSTRUCTION INC"</f>
        <v>R KEOUGH CONSTRUCTION INC</v>
      </c>
      <c r="L249" t="str">
        <f>"7/1/17-6/30/18 -OWNER'S PROGRAM MANAGEMENT SERVICES FOR RIAG - 150 SOUTH MAIN ST BUILDING - IN ACCORDANCE TO PLANS AND SPECIFICATIONS OF PUBLIC SOLICITATION 7550943 - DATED 10/7/16 AND EXECU"</f>
        <v>7/1/17-6/30/18 -OWNER'S PROGRAM MANAGEMENT SERVICES FOR RIAG - 150 SOUTH MAIN ST BUILDING - IN ACCORDANCE TO PLANS AND SPECIFICATIONS OF PUBLIC SOLICITATION 7550943 - DATED 10/7/16 AND EXECU</v>
      </c>
      <c r="M249" t="str">
        <f>"SVALLANT"</f>
        <v>SVALLANT</v>
      </c>
    </row>
    <row r="250" spans="1:13" x14ac:dyDescent="0.25">
      <c r="A250" t="str">
        <f>"18"</f>
        <v>18</v>
      </c>
      <c r="B250" t="str">
        <f>"10"</f>
        <v>10</v>
      </c>
      <c r="C250" t="str">
        <f>"066"</f>
        <v>066</v>
      </c>
      <c r="D250" t="str">
        <f>"3005118"</f>
        <v>3005118</v>
      </c>
      <c r="E250" t="str">
        <f>"02"</f>
        <v>02</v>
      </c>
      <c r="F250" t="str">
        <f>"660010"</f>
        <v>660010</v>
      </c>
      <c r="G250" t="str">
        <f>"AG001"</f>
        <v>AG001</v>
      </c>
      <c r="H250" t="str">
        <f>"01/12/18"</f>
        <v>01/12/18</v>
      </c>
      <c r="I250" t="str">
        <f>"201616-11"</f>
        <v>201616-11</v>
      </c>
      <c r="J250" s="3">
        <v>5050.1400000000003</v>
      </c>
      <c r="K250" t="str">
        <f>"R KEOUGH CONSTRUCTION INC"</f>
        <v>R KEOUGH CONSTRUCTION INC</v>
      </c>
      <c r="L250" t="str">
        <f>"7/1/17-6/30/18 -OWNER'S PROGRAM MANAGEMENT SERVICES FOR RIAG - 150 SOUTH MAIN ST BUILDING - IN ACCORDANCE TO PLANS AND SPECIFICATIONS OF PUBLIC SOLICITATION 7550943 - DATED 10/7/16 AND EXECU"</f>
        <v>7/1/17-6/30/18 -OWNER'S PROGRAM MANAGEMENT SERVICES FOR RIAG - 150 SOUTH MAIN ST BUILDING - IN ACCORDANCE TO PLANS AND SPECIFICATIONS OF PUBLIC SOLICITATION 7550943 - DATED 10/7/16 AND EXECU</v>
      </c>
      <c r="M250" t="str">
        <f>"SVALLANT"</f>
        <v>SVALLANT</v>
      </c>
    </row>
    <row r="251" spans="1:13" x14ac:dyDescent="0.25">
      <c r="I251"/>
      <c r="J251" s="6">
        <f>SUM(J246:J250)</f>
        <v>23930.969999999998</v>
      </c>
    </row>
    <row r="252" spans="1:13" x14ac:dyDescent="0.25">
      <c r="I252"/>
      <c r="J252" s="3"/>
    </row>
    <row r="253" spans="1:13" x14ac:dyDescent="0.25">
      <c r="A253" t="str">
        <f t="shared" ref="A253:A258" si="131">"18"</f>
        <v>18</v>
      </c>
      <c r="B253" t="str">
        <f t="shared" ref="B253:B258" si="132">"10"</f>
        <v>10</v>
      </c>
      <c r="C253" t="str">
        <f t="shared" ref="C253:C258" si="133">"066"</f>
        <v>066</v>
      </c>
      <c r="D253" t="str">
        <f t="shared" ref="D253:D258" si="134">"3005118"</f>
        <v>3005118</v>
      </c>
      <c r="E253" t="str">
        <f t="shared" ref="E253:E258" si="135">"02"</f>
        <v>02</v>
      </c>
      <c r="F253" t="str">
        <f t="shared" ref="F253:F258" si="136">"661302"</f>
        <v>661302</v>
      </c>
      <c r="G253" t="str">
        <f t="shared" ref="G253:G258" si="137">"AG006"</f>
        <v>AG006</v>
      </c>
      <c r="H253" t="str">
        <f>"08/30/17"</f>
        <v>08/30/17</v>
      </c>
      <c r="I253" t="str">
        <f>"APPLICATION #2"</f>
        <v>APPLICATION #2</v>
      </c>
      <c r="J253" s="3">
        <v>435870.66</v>
      </c>
      <c r="K253" t="str">
        <f t="shared" ref="K253:K258" si="138">"BACON CONSTRUCTION COMPANY INC."</f>
        <v>BACON CONSTRUCTION COMPANY INC.</v>
      </c>
      <c r="L253" t="str">
        <f t="shared" ref="L253:L258" si="139">"BUILDING OF CUSTOMER SERVICE CENTER AT PASTORE COMPLEX IN ACCORDANCE TO PLANS AND SPECIFICATION OF PUBLIC SOLICIATION 7551102PH2"</f>
        <v>BUILDING OF CUSTOMER SERVICE CENTER AT PASTORE COMPLEX IN ACCORDANCE TO PLANS AND SPECIFICATION OF PUBLIC SOLICIATION 7551102PH2</v>
      </c>
      <c r="M253" t="str">
        <f t="shared" ref="M253:M258" si="140">"SVALLANT"</f>
        <v>SVALLANT</v>
      </c>
    </row>
    <row r="254" spans="1:13" x14ac:dyDescent="0.25">
      <c r="A254" t="str">
        <f t="shared" si="131"/>
        <v>18</v>
      </c>
      <c r="B254" t="str">
        <f t="shared" si="132"/>
        <v>10</v>
      </c>
      <c r="C254" t="str">
        <f t="shared" si="133"/>
        <v>066</v>
      </c>
      <c r="D254" t="str">
        <f t="shared" si="134"/>
        <v>3005118</v>
      </c>
      <c r="E254" t="str">
        <f t="shared" si="135"/>
        <v>02</v>
      </c>
      <c r="F254" t="str">
        <f t="shared" si="136"/>
        <v>661302</v>
      </c>
      <c r="G254" t="str">
        <f t="shared" si="137"/>
        <v>AG006</v>
      </c>
      <c r="H254" t="str">
        <f>"09/22/17"</f>
        <v>09/22/17</v>
      </c>
      <c r="I254" t="str">
        <f>"APPLICATION #3"</f>
        <v>APPLICATION #3</v>
      </c>
      <c r="J254" s="3">
        <v>556922.42000000004</v>
      </c>
      <c r="K254" t="str">
        <f t="shared" si="138"/>
        <v>BACON CONSTRUCTION COMPANY INC.</v>
      </c>
      <c r="L254" t="str">
        <f t="shared" si="139"/>
        <v>BUILDING OF CUSTOMER SERVICE CENTER AT PASTORE COMPLEX IN ACCORDANCE TO PLANS AND SPECIFICATION OF PUBLIC SOLICIATION 7551102PH2</v>
      </c>
      <c r="M254" t="str">
        <f t="shared" si="140"/>
        <v>SVALLANT</v>
      </c>
    </row>
    <row r="255" spans="1:13" x14ac:dyDescent="0.25">
      <c r="A255" t="str">
        <f t="shared" si="131"/>
        <v>18</v>
      </c>
      <c r="B255" t="str">
        <f t="shared" si="132"/>
        <v>10</v>
      </c>
      <c r="C255" t="str">
        <f t="shared" si="133"/>
        <v>066</v>
      </c>
      <c r="D255" t="str">
        <f t="shared" si="134"/>
        <v>3005118</v>
      </c>
      <c r="E255" t="str">
        <f t="shared" si="135"/>
        <v>02</v>
      </c>
      <c r="F255" t="str">
        <f t="shared" si="136"/>
        <v>661302</v>
      </c>
      <c r="G255" t="str">
        <f t="shared" si="137"/>
        <v>AG006</v>
      </c>
      <c r="H255" t="str">
        <f>"10/20/17"</f>
        <v>10/20/17</v>
      </c>
      <c r="I255" t="str">
        <f>"APPLICATION #4"</f>
        <v>APPLICATION #4</v>
      </c>
      <c r="J255" s="3">
        <v>1282519.58</v>
      </c>
      <c r="K255" t="str">
        <f t="shared" si="138"/>
        <v>BACON CONSTRUCTION COMPANY INC.</v>
      </c>
      <c r="L255" t="str">
        <f t="shared" si="139"/>
        <v>BUILDING OF CUSTOMER SERVICE CENTER AT PASTORE COMPLEX IN ACCORDANCE TO PLANS AND SPECIFICATION OF PUBLIC SOLICIATION 7551102PH2</v>
      </c>
      <c r="M255" t="str">
        <f t="shared" si="140"/>
        <v>SVALLANT</v>
      </c>
    </row>
    <row r="256" spans="1:13" x14ac:dyDescent="0.25">
      <c r="A256" t="str">
        <f t="shared" si="131"/>
        <v>18</v>
      </c>
      <c r="B256" t="str">
        <f t="shared" si="132"/>
        <v>10</v>
      </c>
      <c r="C256" t="str">
        <f t="shared" si="133"/>
        <v>066</v>
      </c>
      <c r="D256" t="str">
        <f t="shared" si="134"/>
        <v>3005118</v>
      </c>
      <c r="E256" t="str">
        <f t="shared" si="135"/>
        <v>02</v>
      </c>
      <c r="F256" t="str">
        <f t="shared" si="136"/>
        <v>661302</v>
      </c>
      <c r="G256" t="str">
        <f t="shared" si="137"/>
        <v>AG006</v>
      </c>
      <c r="H256" t="str">
        <f>"11/17/17"</f>
        <v>11/17/17</v>
      </c>
      <c r="I256" t="str">
        <f>"APPLICATION #5"</f>
        <v>APPLICATION #5</v>
      </c>
      <c r="J256" s="3">
        <v>893892.88</v>
      </c>
      <c r="K256" t="str">
        <f t="shared" si="138"/>
        <v>BACON CONSTRUCTION COMPANY INC.</v>
      </c>
      <c r="L256" t="str">
        <f t="shared" si="139"/>
        <v>BUILDING OF CUSTOMER SERVICE CENTER AT PASTORE COMPLEX IN ACCORDANCE TO PLANS AND SPECIFICATION OF PUBLIC SOLICIATION 7551102PH2</v>
      </c>
      <c r="M256" t="str">
        <f t="shared" si="140"/>
        <v>SVALLANT</v>
      </c>
    </row>
    <row r="257" spans="1:13" x14ac:dyDescent="0.25">
      <c r="A257" t="str">
        <f t="shared" si="131"/>
        <v>18</v>
      </c>
      <c r="B257" t="str">
        <f t="shared" si="132"/>
        <v>10</v>
      </c>
      <c r="C257" t="str">
        <f t="shared" si="133"/>
        <v>066</v>
      </c>
      <c r="D257" t="str">
        <f t="shared" si="134"/>
        <v>3005118</v>
      </c>
      <c r="E257" t="str">
        <f t="shared" si="135"/>
        <v>02</v>
      </c>
      <c r="F257" t="str">
        <f t="shared" si="136"/>
        <v>661302</v>
      </c>
      <c r="G257" t="str">
        <f t="shared" si="137"/>
        <v>AG006</v>
      </c>
      <c r="H257" t="str">
        <f>"12/19/17"</f>
        <v>12/19/17</v>
      </c>
      <c r="I257" t="str">
        <f>"APPLICATION #6"</f>
        <v>APPLICATION #6</v>
      </c>
      <c r="J257" s="3">
        <v>1444179.38</v>
      </c>
      <c r="K257" t="str">
        <f t="shared" si="138"/>
        <v>BACON CONSTRUCTION COMPANY INC.</v>
      </c>
      <c r="L257" t="str">
        <f t="shared" si="139"/>
        <v>BUILDING OF CUSTOMER SERVICE CENTER AT PASTORE COMPLEX IN ACCORDANCE TO PLANS AND SPECIFICATION OF PUBLIC SOLICIATION 7551102PH2</v>
      </c>
      <c r="M257" t="str">
        <f t="shared" si="140"/>
        <v>SVALLANT</v>
      </c>
    </row>
    <row r="258" spans="1:13" x14ac:dyDescent="0.25">
      <c r="A258" t="str">
        <f t="shared" si="131"/>
        <v>18</v>
      </c>
      <c r="B258" t="str">
        <f t="shared" si="132"/>
        <v>10</v>
      </c>
      <c r="C258" t="str">
        <f t="shared" si="133"/>
        <v>066</v>
      </c>
      <c r="D258" t="str">
        <f t="shared" si="134"/>
        <v>3005118</v>
      </c>
      <c r="E258" t="str">
        <f t="shared" si="135"/>
        <v>02</v>
      </c>
      <c r="F258" t="str">
        <f t="shared" si="136"/>
        <v>661302</v>
      </c>
      <c r="G258" t="str">
        <f t="shared" si="137"/>
        <v>AG006</v>
      </c>
      <c r="H258" t="str">
        <f>"01/19/18"</f>
        <v>01/19/18</v>
      </c>
      <c r="I258" t="str">
        <f>"APPLICATION #7"</f>
        <v>APPLICATION #7</v>
      </c>
      <c r="J258" s="3">
        <v>926288.77</v>
      </c>
      <c r="K258" t="str">
        <f t="shared" si="138"/>
        <v>BACON CONSTRUCTION COMPANY INC.</v>
      </c>
      <c r="L258" t="str">
        <f t="shared" si="139"/>
        <v>BUILDING OF CUSTOMER SERVICE CENTER AT PASTORE COMPLEX IN ACCORDANCE TO PLANS AND SPECIFICATION OF PUBLIC SOLICIATION 7551102PH2</v>
      </c>
      <c r="M258" t="str">
        <f t="shared" si="140"/>
        <v>SVALLANT</v>
      </c>
    </row>
    <row r="259" spans="1:13" x14ac:dyDescent="0.25">
      <c r="I259"/>
      <c r="J259" s="6">
        <f>SUM(J253:J258)</f>
        <v>5539673.6899999995</v>
      </c>
    </row>
    <row r="260" spans="1:13" x14ac:dyDescent="0.25">
      <c r="I260"/>
      <c r="J260" s="3"/>
    </row>
    <row r="261" spans="1:13" x14ac:dyDescent="0.25">
      <c r="A261" t="str">
        <f>"18"</f>
        <v>18</v>
      </c>
      <c r="B261" t="str">
        <f>"10"</f>
        <v>10</v>
      </c>
      <c r="C261" t="str">
        <f>"066"</f>
        <v>066</v>
      </c>
      <c r="D261" t="str">
        <f>"3005118"</f>
        <v>3005118</v>
      </c>
      <c r="E261" t="str">
        <f>"02"</f>
        <v>02</v>
      </c>
      <c r="F261" t="str">
        <f>"661302"</f>
        <v>661302</v>
      </c>
      <c r="G261" t="str">
        <f>"AG006"</f>
        <v>AG006</v>
      </c>
      <c r="H261" t="str">
        <f>"08/29/17"</f>
        <v>08/29/17</v>
      </c>
      <c r="I261" t="str">
        <f>"201612-11"</f>
        <v>201612-11</v>
      </c>
      <c r="J261" s="3">
        <v>13303.68</v>
      </c>
      <c r="K261" t="str">
        <f>"R KEOUGH CONSTRUCTION INC"</f>
        <v>R KEOUGH CONSTRUCTION INC</v>
      </c>
      <c r="L261" t="str">
        <f>"7/1/17-6/30/18 -OWNER'S PROGRAM MANAGEMENT SERVICES - RI OFFICE OF AG CUSTOMER SERVICE CENTER, PASTORE CAMPUS, CRANSTON, RI"</f>
        <v>7/1/17-6/30/18 -OWNER'S PROGRAM MANAGEMENT SERVICES - RI OFFICE OF AG CUSTOMER SERVICE CENTER, PASTORE CAMPUS, CRANSTON, RI</v>
      </c>
      <c r="M261" t="str">
        <f>"SVALLANT"</f>
        <v>SVALLANT</v>
      </c>
    </row>
    <row r="262" spans="1:13" x14ac:dyDescent="0.25">
      <c r="A262" t="str">
        <f>"18"</f>
        <v>18</v>
      </c>
      <c r="B262" t="str">
        <f>"10"</f>
        <v>10</v>
      </c>
      <c r="C262" t="str">
        <f>"066"</f>
        <v>066</v>
      </c>
      <c r="D262" t="str">
        <f>"3005118"</f>
        <v>3005118</v>
      </c>
      <c r="E262" t="str">
        <f>"02"</f>
        <v>02</v>
      </c>
      <c r="F262" t="str">
        <f>"661302"</f>
        <v>661302</v>
      </c>
      <c r="G262" t="str">
        <f>"AG006"</f>
        <v>AG006</v>
      </c>
      <c r="H262" t="str">
        <f>"09/28/17"</f>
        <v>09/28/17</v>
      </c>
      <c r="I262" t="str">
        <f>"201612-12"</f>
        <v>201612-12</v>
      </c>
      <c r="J262" s="3">
        <v>13822.5</v>
      </c>
      <c r="K262" t="str">
        <f>"R KEOUGH CONSTRUCTION INC"</f>
        <v>R KEOUGH CONSTRUCTION INC</v>
      </c>
      <c r="L262" t="str">
        <f>"7/1/17-6/30/18 -OWNER'S PROGRAM MANAGEMENT SERVICES - RI OFFICE OF AG CUSTOMER SERVICE CENTER, PASTORE CAMPUS, CRANSTON, RI"</f>
        <v>7/1/17-6/30/18 -OWNER'S PROGRAM MANAGEMENT SERVICES - RI OFFICE OF AG CUSTOMER SERVICE CENTER, PASTORE CAMPUS, CRANSTON, RI</v>
      </c>
      <c r="M262" t="str">
        <f>"SVALLANT"</f>
        <v>SVALLANT</v>
      </c>
    </row>
    <row r="263" spans="1:13" x14ac:dyDescent="0.25">
      <c r="A263" t="str">
        <f>"18"</f>
        <v>18</v>
      </c>
      <c r="B263" t="str">
        <f>"10"</f>
        <v>10</v>
      </c>
      <c r="C263" t="str">
        <f>"066"</f>
        <v>066</v>
      </c>
      <c r="D263" t="str">
        <f>"3005118"</f>
        <v>3005118</v>
      </c>
      <c r="E263" t="str">
        <f>"02"</f>
        <v>02</v>
      </c>
      <c r="F263" t="str">
        <f>"661302"</f>
        <v>661302</v>
      </c>
      <c r="G263" t="str">
        <f>"AG006"</f>
        <v>AG006</v>
      </c>
      <c r="H263" t="str">
        <f>"12/12/17"</f>
        <v>12/12/17</v>
      </c>
      <c r="I263" t="str">
        <f>"201612-13"</f>
        <v>201612-13</v>
      </c>
      <c r="J263" s="3">
        <v>11257.5</v>
      </c>
      <c r="K263" t="str">
        <f>"R KEOUGH CONSTRUCTION INC"</f>
        <v>R KEOUGH CONSTRUCTION INC</v>
      </c>
      <c r="L263" t="str">
        <f>"7/1/17-6/30/18 -OWNER'S PROGRAM MANAGEMENT SERVICES - RI OFFICE OF AG CUSTOMER SERVICE CENTER, PASTORE CAMPUS, CRANSTON, RI"</f>
        <v>7/1/17-6/30/18 -OWNER'S PROGRAM MANAGEMENT SERVICES - RI OFFICE OF AG CUSTOMER SERVICE CENTER, PASTORE CAMPUS, CRANSTON, RI</v>
      </c>
      <c r="M263" t="str">
        <f>"SVALLANT"</f>
        <v>SVALLANT</v>
      </c>
    </row>
    <row r="264" spans="1:13" x14ac:dyDescent="0.25">
      <c r="A264" t="str">
        <f>"18"</f>
        <v>18</v>
      </c>
      <c r="B264" t="str">
        <f>"10"</f>
        <v>10</v>
      </c>
      <c r="C264" t="str">
        <f>"066"</f>
        <v>066</v>
      </c>
      <c r="D264" t="str">
        <f>"3005118"</f>
        <v>3005118</v>
      </c>
      <c r="E264" t="str">
        <f>"02"</f>
        <v>02</v>
      </c>
      <c r="F264" t="str">
        <f>"661302"</f>
        <v>661302</v>
      </c>
      <c r="G264" t="str">
        <f>"AG006"</f>
        <v>AG006</v>
      </c>
      <c r="H264" t="str">
        <f>"12/12/17"</f>
        <v>12/12/17</v>
      </c>
      <c r="I264" t="str">
        <f>"201612-14"</f>
        <v>201612-14</v>
      </c>
      <c r="J264" s="3">
        <v>13262</v>
      </c>
      <c r="K264" t="str">
        <f>"R KEOUGH CONSTRUCTION INC"</f>
        <v>R KEOUGH CONSTRUCTION INC</v>
      </c>
      <c r="L264" t="str">
        <f>"7/1/17-6/30/18 -OWNER'S PROGRAM MANAGEMENT SERVICES - RI OFFICE OF AG CUSTOMER SERVICE CENTER, PASTORE CAMPUS, CRANSTON, RI"</f>
        <v>7/1/17-6/30/18 -OWNER'S PROGRAM MANAGEMENT SERVICES - RI OFFICE OF AG CUSTOMER SERVICE CENTER, PASTORE CAMPUS, CRANSTON, RI</v>
      </c>
      <c r="M264" t="str">
        <f>"SVALLANT"</f>
        <v>SVALLANT</v>
      </c>
    </row>
    <row r="265" spans="1:13" x14ac:dyDescent="0.25">
      <c r="A265" t="str">
        <f>"18"</f>
        <v>18</v>
      </c>
      <c r="B265" t="str">
        <f>"10"</f>
        <v>10</v>
      </c>
      <c r="C265" t="str">
        <f>"066"</f>
        <v>066</v>
      </c>
      <c r="D265" t="str">
        <f>"3005118"</f>
        <v>3005118</v>
      </c>
      <c r="E265" t="str">
        <f>"02"</f>
        <v>02</v>
      </c>
      <c r="F265" t="str">
        <f>"661302"</f>
        <v>661302</v>
      </c>
      <c r="G265" t="str">
        <f>"AG006"</f>
        <v>AG006</v>
      </c>
      <c r="H265" t="str">
        <f>"01/12/18"</f>
        <v>01/12/18</v>
      </c>
      <c r="I265" t="str">
        <f>"201612-15"</f>
        <v>201612-15</v>
      </c>
      <c r="J265" s="3">
        <v>13262</v>
      </c>
      <c r="K265" t="str">
        <f>"R KEOUGH CONSTRUCTION INC"</f>
        <v>R KEOUGH CONSTRUCTION INC</v>
      </c>
      <c r="L265" t="str">
        <f>"7/1/17-6/30/18 -OWNER'S PROGRAM MANAGEMENT SERVICES - RI OFFICE OF AG CUSTOMER SERVICE CENTER, PASTORE CAMPUS, CRANSTON, RI"</f>
        <v>7/1/17-6/30/18 -OWNER'S PROGRAM MANAGEMENT SERVICES - RI OFFICE OF AG CUSTOMER SERVICE CENTER, PASTORE CAMPUS, CRANSTON, RI</v>
      </c>
      <c r="M265" t="str">
        <f>"SVALLANT"</f>
        <v>SVALLANT</v>
      </c>
    </row>
    <row r="266" spans="1:13" x14ac:dyDescent="0.25">
      <c r="I266"/>
      <c r="J266" s="6">
        <f>SUM(J261:J265)</f>
        <v>64907.68</v>
      </c>
    </row>
    <row r="267" spans="1:13" x14ac:dyDescent="0.25">
      <c r="I267"/>
      <c r="J267" s="3"/>
    </row>
    <row r="268" spans="1:13" x14ac:dyDescent="0.25">
      <c r="A268" t="str">
        <f>"18"</f>
        <v>18</v>
      </c>
      <c r="B268" t="str">
        <f>"10"</f>
        <v>10</v>
      </c>
      <c r="C268" t="str">
        <f>"066"</f>
        <v>066</v>
      </c>
      <c r="D268" t="str">
        <f>"3005118"</f>
        <v>3005118</v>
      </c>
      <c r="E268" t="str">
        <f>"02"</f>
        <v>02</v>
      </c>
      <c r="F268" t="str">
        <f>"661351"</f>
        <v>661351</v>
      </c>
      <c r="G268" t="str">
        <f>"AG005"</f>
        <v>AG005</v>
      </c>
      <c r="H268" t="str">
        <f>"09/22/17"</f>
        <v>09/22/17</v>
      </c>
      <c r="I268" t="str">
        <f>"0000005 - AG"</f>
        <v>0000005 - AG</v>
      </c>
      <c r="J268" s="3">
        <v>135</v>
      </c>
      <c r="K268" t="str">
        <f>"PARE CORPORATION"</f>
        <v>PARE CORPORATION</v>
      </c>
      <c r="L268" t="str">
        <f>"PROFESSIONAL STRUCTURAL ENGINEERING DESIGN SERVICES FOR GENERATOR AT 180 SOUTH MAIN STREET BUILDING"</f>
        <v>PROFESSIONAL STRUCTURAL ENGINEERING DESIGN SERVICES FOR GENERATOR AT 180 SOUTH MAIN STREET BUILDING</v>
      </c>
      <c r="M268" t="str">
        <f>"SVALLANT"</f>
        <v>SVALLANT</v>
      </c>
    </row>
    <row r="269" spans="1:13" x14ac:dyDescent="0.25">
      <c r="A269" t="str">
        <f>"18"</f>
        <v>18</v>
      </c>
      <c r="B269" t="str">
        <f>"10"</f>
        <v>10</v>
      </c>
      <c r="C269" t="str">
        <f>"066"</f>
        <v>066</v>
      </c>
      <c r="D269" t="str">
        <f>"3005118"</f>
        <v>3005118</v>
      </c>
      <c r="E269" t="str">
        <f>"02"</f>
        <v>02</v>
      </c>
      <c r="F269" t="str">
        <f>"661351"</f>
        <v>661351</v>
      </c>
      <c r="G269" t="str">
        <f>"AG005"</f>
        <v>AG005</v>
      </c>
      <c r="H269" t="str">
        <f>"09/22/17"</f>
        <v>09/22/17</v>
      </c>
      <c r="I269" t="str">
        <f>"0000006 - AG"</f>
        <v>0000006 - AG</v>
      </c>
      <c r="J269" s="3">
        <v>270</v>
      </c>
      <c r="K269" t="str">
        <f>"PARE CORPORATION"</f>
        <v>PARE CORPORATION</v>
      </c>
      <c r="L269" t="str">
        <f>"PROFESSIONAL STRUCTURAL ENGINEERING DESIGN SERVICES FOR GENERATOR AT 180 SOUTH MAIN STREET BUILDING"</f>
        <v>PROFESSIONAL STRUCTURAL ENGINEERING DESIGN SERVICES FOR GENERATOR AT 180 SOUTH MAIN STREET BUILDING</v>
      </c>
      <c r="M269" t="str">
        <f>"SVALLANT"</f>
        <v>SVALLANT</v>
      </c>
    </row>
    <row r="270" spans="1:13" x14ac:dyDescent="0.25">
      <c r="A270" t="str">
        <f>"18"</f>
        <v>18</v>
      </c>
      <c r="B270" t="str">
        <f>"10"</f>
        <v>10</v>
      </c>
      <c r="C270" t="str">
        <f>"066"</f>
        <v>066</v>
      </c>
      <c r="D270" t="str">
        <f>"3005118"</f>
        <v>3005118</v>
      </c>
      <c r="E270" t="str">
        <f>"02"</f>
        <v>02</v>
      </c>
      <c r="F270" t="str">
        <f>"661351"</f>
        <v>661351</v>
      </c>
      <c r="G270" t="str">
        <f>"AG005"</f>
        <v>AG005</v>
      </c>
      <c r="H270" t="str">
        <f>"01/12/18"</f>
        <v>01/12/18</v>
      </c>
      <c r="I270" t="str">
        <f>"0000007 - AG"</f>
        <v>0000007 - AG</v>
      </c>
      <c r="J270" s="3">
        <v>216</v>
      </c>
      <c r="K270" t="str">
        <f>"PARE CORPORATION"</f>
        <v>PARE CORPORATION</v>
      </c>
      <c r="L270" t="str">
        <f>"PROFESSIONAL STRUCTURAL ENGINEERING DESIGN SERVICES FOR GENERATOR AT 180 SOUTH MAIN STREET BUILDING"</f>
        <v>PROFESSIONAL STRUCTURAL ENGINEERING DESIGN SERVICES FOR GENERATOR AT 180 SOUTH MAIN STREET BUILDING</v>
      </c>
      <c r="M270" t="str">
        <f>"SVALLANT"</f>
        <v>SVALLANT</v>
      </c>
    </row>
    <row r="271" spans="1:13" x14ac:dyDescent="0.25">
      <c r="I271"/>
      <c r="J271" s="6">
        <f>SUM(J268:J270)</f>
        <v>621</v>
      </c>
    </row>
    <row r="272" spans="1:13" x14ac:dyDescent="0.25">
      <c r="I272"/>
      <c r="J272" s="3"/>
    </row>
    <row r="273" spans="1:13" x14ac:dyDescent="0.25">
      <c r="A273" t="str">
        <f t="shared" ref="A273:A285" si="141">"18"</f>
        <v>18</v>
      </c>
      <c r="B273" t="str">
        <f t="shared" ref="B273:B285" si="142">"10"</f>
        <v>10</v>
      </c>
      <c r="C273" t="str">
        <f t="shared" ref="C273:C285" si="143">"066"</f>
        <v>066</v>
      </c>
      <c r="D273" t="str">
        <f t="shared" ref="D273:D285" si="144">"3005118"</f>
        <v>3005118</v>
      </c>
      <c r="E273" t="str">
        <f t="shared" ref="E273:E285" si="145">"02"</f>
        <v>02</v>
      </c>
      <c r="F273" t="str">
        <f t="shared" ref="F273:F285" si="146">"661605"</f>
        <v>661605</v>
      </c>
      <c r="G273" t="str">
        <f t="shared" ref="G273:G285" si="147">"00000"</f>
        <v>00000</v>
      </c>
      <c r="H273" t="str">
        <f>"01/12/18"</f>
        <v>01/12/18</v>
      </c>
      <c r="I273" t="str">
        <f>"0089596-IN-SXA"</f>
        <v>0089596-IN-SXA</v>
      </c>
      <c r="J273" s="4">
        <v>720</v>
      </c>
      <c r="K273" t="str">
        <f t="shared" ref="K273:K285" si="148">"ATRION NETWORKING CORPORATION"</f>
        <v>ATRION NETWORKING CORPORATION</v>
      </c>
      <c r="L273" t="str">
        <f>"Aruba LIC-AP Controller per AP Capacity License E-LTU"</f>
        <v>Aruba LIC-AP Controller per AP Capacity License E-LTU</v>
      </c>
      <c r="M273" t="str">
        <f t="shared" ref="M273:M285" si="149">"SVALLANT"</f>
        <v>SVALLANT</v>
      </c>
    </row>
    <row r="274" spans="1:13" x14ac:dyDescent="0.25">
      <c r="A274" t="str">
        <f t="shared" si="141"/>
        <v>18</v>
      </c>
      <c r="B274" t="str">
        <f t="shared" si="142"/>
        <v>10</v>
      </c>
      <c r="C274" t="str">
        <f t="shared" si="143"/>
        <v>066</v>
      </c>
      <c r="D274" t="str">
        <f t="shared" si="144"/>
        <v>3005118</v>
      </c>
      <c r="E274" t="str">
        <f t="shared" si="145"/>
        <v>02</v>
      </c>
      <c r="F274" t="str">
        <f t="shared" si="146"/>
        <v>661605</v>
      </c>
      <c r="G274" t="str">
        <f t="shared" si="147"/>
        <v>00000</v>
      </c>
      <c r="H274" t="str">
        <f>"01/12/18"</f>
        <v>01/12/18</v>
      </c>
      <c r="I274" t="str">
        <f>"0089596-IN-SXA"</f>
        <v>0089596-IN-SXA</v>
      </c>
      <c r="J274" s="4">
        <v>944</v>
      </c>
      <c r="K274" t="str">
        <f t="shared" si="148"/>
        <v>ATRION NETWORKING CORPORATION</v>
      </c>
      <c r="L274" t="str">
        <f>"ARUBA AP-367 US FIPS TAA OUTDR AP"</f>
        <v>ARUBA AP-367 US FIPS TAA OUTDR AP</v>
      </c>
      <c r="M274" t="str">
        <f t="shared" si="149"/>
        <v>SVALLANT</v>
      </c>
    </row>
    <row r="275" spans="1:13" x14ac:dyDescent="0.25">
      <c r="A275" t="str">
        <f t="shared" si="141"/>
        <v>18</v>
      </c>
      <c r="B275" t="str">
        <f t="shared" si="142"/>
        <v>10</v>
      </c>
      <c r="C275" t="str">
        <f t="shared" si="143"/>
        <v>066</v>
      </c>
      <c r="D275" t="str">
        <f t="shared" si="144"/>
        <v>3005118</v>
      </c>
      <c r="E275" t="str">
        <f t="shared" si="145"/>
        <v>02</v>
      </c>
      <c r="F275" t="str">
        <f t="shared" si="146"/>
        <v>661605</v>
      </c>
      <c r="G275" t="str">
        <f t="shared" si="147"/>
        <v>00000</v>
      </c>
      <c r="H275" t="str">
        <f>"01/23/18"</f>
        <v>01/23/18</v>
      </c>
      <c r="I275" t="str">
        <f>"0089508-IN"</f>
        <v>0089508-IN</v>
      </c>
      <c r="J275" s="4">
        <v>74</v>
      </c>
      <c r="K275" t="str">
        <f t="shared" si="148"/>
        <v>ATRION NETWORKING CORPORATION</v>
      </c>
      <c r="L275" t="str">
        <f>"ARUBA AP-270-MNT-V2 270 SERIES MOUNT KIT"</f>
        <v>ARUBA AP-270-MNT-V2 270 SERIES MOUNT KIT</v>
      </c>
      <c r="M275" t="str">
        <f t="shared" si="149"/>
        <v>SVALLANT</v>
      </c>
    </row>
    <row r="276" spans="1:13" x14ac:dyDescent="0.25">
      <c r="A276" t="str">
        <f t="shared" si="141"/>
        <v>18</v>
      </c>
      <c r="B276" t="str">
        <f t="shared" si="142"/>
        <v>10</v>
      </c>
      <c r="C276" t="str">
        <f t="shared" si="143"/>
        <v>066</v>
      </c>
      <c r="D276" t="str">
        <f t="shared" si="144"/>
        <v>3005118</v>
      </c>
      <c r="E276" t="str">
        <f t="shared" si="145"/>
        <v>02</v>
      </c>
      <c r="F276" t="str">
        <f t="shared" si="146"/>
        <v>661605</v>
      </c>
      <c r="G276" t="str">
        <f t="shared" si="147"/>
        <v>00000</v>
      </c>
      <c r="H276" t="str">
        <f>"01/23/18"</f>
        <v>01/23/18</v>
      </c>
      <c r="I276" t="str">
        <f>"0089508-IN"</f>
        <v>0089508-IN</v>
      </c>
      <c r="J276" s="4">
        <v>11505</v>
      </c>
      <c r="K276" t="str">
        <f t="shared" si="148"/>
        <v>ATRION NETWORKING CORPORATION</v>
      </c>
      <c r="L276" t="str">
        <f>"Aruba AP-225 802.11n/ac Dual 3x3:3 Radio Integrated Antenna AP"</f>
        <v>Aruba AP-225 802.11n/ac Dual 3x3:3 Radio Integrated Antenna AP</v>
      </c>
      <c r="M276" t="str">
        <f t="shared" si="149"/>
        <v>SVALLANT</v>
      </c>
    </row>
    <row r="277" spans="1:13" x14ac:dyDescent="0.25">
      <c r="A277" t="str">
        <f t="shared" si="141"/>
        <v>18</v>
      </c>
      <c r="B277" t="str">
        <f t="shared" si="142"/>
        <v>10</v>
      </c>
      <c r="C277" t="str">
        <f t="shared" si="143"/>
        <v>066</v>
      </c>
      <c r="D277" t="str">
        <f t="shared" si="144"/>
        <v>3005118</v>
      </c>
      <c r="E277" t="str">
        <f t="shared" si="145"/>
        <v>02</v>
      </c>
      <c r="F277" t="str">
        <f t="shared" si="146"/>
        <v>661605</v>
      </c>
      <c r="G277" t="str">
        <f t="shared" si="147"/>
        <v>00000</v>
      </c>
      <c r="H277" t="str">
        <f t="shared" ref="H277:H285" si="150">"01/30/18"</f>
        <v>01/30/18</v>
      </c>
      <c r="I277" t="str">
        <f>"0090816-IN"</f>
        <v>0090816-IN</v>
      </c>
      <c r="J277" s="4">
        <v>119.43</v>
      </c>
      <c r="K277" t="str">
        <f t="shared" si="148"/>
        <v>ATRION NETWORKING CORPORATION</v>
      </c>
      <c r="L277" t="str">
        <f>"20' WiFi antenna cable low loss,RPSMA F;RPSMA M"</f>
        <v>20' WiFi antenna cable low loss,RPSMA F;RPSMA M</v>
      </c>
      <c r="M277" t="str">
        <f t="shared" si="149"/>
        <v>SVALLANT</v>
      </c>
    </row>
    <row r="278" spans="1:13" x14ac:dyDescent="0.25">
      <c r="A278" t="str">
        <f t="shared" si="141"/>
        <v>18</v>
      </c>
      <c r="B278" t="str">
        <f t="shared" si="142"/>
        <v>10</v>
      </c>
      <c r="C278" t="str">
        <f t="shared" si="143"/>
        <v>066</v>
      </c>
      <c r="D278" t="str">
        <f t="shared" si="144"/>
        <v>3005118</v>
      </c>
      <c r="E278" t="str">
        <f t="shared" si="145"/>
        <v>02</v>
      </c>
      <c r="F278" t="str">
        <f t="shared" si="146"/>
        <v>661605</v>
      </c>
      <c r="G278" t="str">
        <f t="shared" si="147"/>
        <v>00000</v>
      </c>
      <c r="H278" t="str">
        <f t="shared" si="150"/>
        <v>01/30/18</v>
      </c>
      <c r="I278" t="str">
        <f t="shared" ref="I278:I285" si="151">"72512A"</f>
        <v>72512A</v>
      </c>
      <c r="J278" s="4">
        <v>1638</v>
      </c>
      <c r="K278" t="str">
        <f t="shared" si="148"/>
        <v>ATRION NETWORKING CORPORATION</v>
      </c>
      <c r="L278" t="str">
        <f>"SFP-10G-SR-S=;10GBASE-SR SFP  Module, Enterprise-Class"</f>
        <v>SFP-10G-SR-S=;10GBASE-SR SFP  Module, Enterprise-Class</v>
      </c>
      <c r="M278" t="str">
        <f t="shared" si="149"/>
        <v>SVALLANT</v>
      </c>
    </row>
    <row r="279" spans="1:13" x14ac:dyDescent="0.25">
      <c r="A279" t="str">
        <f t="shared" si="141"/>
        <v>18</v>
      </c>
      <c r="B279" t="str">
        <f t="shared" si="142"/>
        <v>10</v>
      </c>
      <c r="C279" t="str">
        <f t="shared" si="143"/>
        <v>066</v>
      </c>
      <c r="D279" t="str">
        <f t="shared" si="144"/>
        <v>3005118</v>
      </c>
      <c r="E279" t="str">
        <f t="shared" si="145"/>
        <v>02</v>
      </c>
      <c r="F279" t="str">
        <f t="shared" si="146"/>
        <v>661605</v>
      </c>
      <c r="G279" t="str">
        <f t="shared" si="147"/>
        <v>00000</v>
      </c>
      <c r="H279" t="str">
        <f t="shared" si="150"/>
        <v>01/30/18</v>
      </c>
      <c r="I279" t="str">
        <f t="shared" si="151"/>
        <v>72512A</v>
      </c>
      <c r="J279" s="4">
        <v>2796.32</v>
      </c>
      <c r="K279" t="str">
        <f t="shared" si="148"/>
        <v>ATRION NETWORKING CORPORATION</v>
      </c>
      <c r="L279" t="str">
        <f>"C2960X-STACK;Catalyst 2960-X FlexStack Plus  Stacking Module"</f>
        <v>C2960X-STACK;Catalyst 2960-X FlexStack Plus  Stacking Module</v>
      </c>
      <c r="M279" t="str">
        <f t="shared" si="149"/>
        <v>SVALLANT</v>
      </c>
    </row>
    <row r="280" spans="1:13" x14ac:dyDescent="0.25">
      <c r="A280" t="str">
        <f t="shared" si="141"/>
        <v>18</v>
      </c>
      <c r="B280" t="str">
        <f t="shared" si="142"/>
        <v>10</v>
      </c>
      <c r="C280" t="str">
        <f t="shared" si="143"/>
        <v>066</v>
      </c>
      <c r="D280" t="str">
        <f t="shared" si="144"/>
        <v>3005118</v>
      </c>
      <c r="E280" t="str">
        <f t="shared" si="145"/>
        <v>02</v>
      </c>
      <c r="F280" t="str">
        <f t="shared" si="146"/>
        <v>661605</v>
      </c>
      <c r="G280" t="str">
        <f t="shared" si="147"/>
        <v>00000</v>
      </c>
      <c r="H280" t="str">
        <f t="shared" si="150"/>
        <v>01/30/18</v>
      </c>
      <c r="I280" t="str">
        <f t="shared" si="151"/>
        <v>72512A</v>
      </c>
      <c r="J280" s="4">
        <v>3498.32</v>
      </c>
      <c r="K280" t="str">
        <f t="shared" si="148"/>
        <v>ATRION NETWORKING CORPORATION</v>
      </c>
      <c r="L280" t="str">
        <f>"C3K-PWR-1150WAC"</f>
        <v>C3K-PWR-1150WAC</v>
      </c>
      <c r="M280" t="str">
        <f t="shared" si="149"/>
        <v>SVALLANT</v>
      </c>
    </row>
    <row r="281" spans="1:13" x14ac:dyDescent="0.25">
      <c r="A281" t="str">
        <f t="shared" si="141"/>
        <v>18</v>
      </c>
      <c r="B281" t="str">
        <f t="shared" si="142"/>
        <v>10</v>
      </c>
      <c r="C281" t="str">
        <f t="shared" si="143"/>
        <v>066</v>
      </c>
      <c r="D281" t="str">
        <f t="shared" si="144"/>
        <v>3005118</v>
      </c>
      <c r="E281" t="str">
        <f t="shared" si="145"/>
        <v>02</v>
      </c>
      <c r="F281" t="str">
        <f t="shared" si="146"/>
        <v>661605</v>
      </c>
      <c r="G281" t="str">
        <f t="shared" si="147"/>
        <v>00000</v>
      </c>
      <c r="H281" t="str">
        <f t="shared" si="150"/>
        <v>01/30/18</v>
      </c>
      <c r="I281" t="str">
        <f t="shared" si="151"/>
        <v>72512A</v>
      </c>
      <c r="J281" s="4">
        <v>351</v>
      </c>
      <c r="K281" t="str">
        <f t="shared" si="148"/>
        <v>ATRION NETWORKING CORPORATION</v>
      </c>
      <c r="L281" t="str">
        <f>"CAB-RPS2300-E=;SPARE RPS2300 CABLE FOR DEVICES OTHER THAN E-SERIES SWITCH"</f>
        <v>CAB-RPS2300-E=;SPARE RPS2300 CABLE FOR DEVICES OTHER THAN E-SERIES SWITCH</v>
      </c>
      <c r="M281" t="str">
        <f t="shared" si="149"/>
        <v>SVALLANT</v>
      </c>
    </row>
    <row r="282" spans="1:13" x14ac:dyDescent="0.25">
      <c r="A282" t="str">
        <f t="shared" si="141"/>
        <v>18</v>
      </c>
      <c r="B282" t="str">
        <f t="shared" si="142"/>
        <v>10</v>
      </c>
      <c r="C282" t="str">
        <f t="shared" si="143"/>
        <v>066</v>
      </c>
      <c r="D282" t="str">
        <f t="shared" si="144"/>
        <v>3005118</v>
      </c>
      <c r="E282" t="str">
        <f t="shared" si="145"/>
        <v>02</v>
      </c>
      <c r="F282" t="str">
        <f t="shared" si="146"/>
        <v>661605</v>
      </c>
      <c r="G282" t="str">
        <f t="shared" si="147"/>
        <v>00000</v>
      </c>
      <c r="H282" t="str">
        <f t="shared" si="150"/>
        <v>01/30/18</v>
      </c>
      <c r="I282" t="str">
        <f t="shared" si="151"/>
        <v>72512A</v>
      </c>
      <c r="J282" s="4">
        <v>1404</v>
      </c>
      <c r="K282" t="str">
        <f t="shared" si="148"/>
        <v>ATRION NETWORKING CORPORATION</v>
      </c>
      <c r="L282" t="str">
        <f>"PWR-RPS2300;CISCO REDUNDANT POWER SYSTEM 2"</f>
        <v>PWR-RPS2300;CISCO REDUNDANT POWER SYSTEM 2</v>
      </c>
      <c r="M282" t="str">
        <f t="shared" si="149"/>
        <v>SVALLANT</v>
      </c>
    </row>
    <row r="283" spans="1:13" x14ac:dyDescent="0.25">
      <c r="A283" t="str">
        <f t="shared" si="141"/>
        <v>18</v>
      </c>
      <c r="B283" t="str">
        <f t="shared" si="142"/>
        <v>10</v>
      </c>
      <c r="C283" t="str">
        <f t="shared" si="143"/>
        <v>066</v>
      </c>
      <c r="D283" t="str">
        <f t="shared" si="144"/>
        <v>3005118</v>
      </c>
      <c r="E283" t="str">
        <f t="shared" si="145"/>
        <v>02</v>
      </c>
      <c r="F283" t="str">
        <f t="shared" si="146"/>
        <v>661605</v>
      </c>
      <c r="G283" t="str">
        <f t="shared" si="147"/>
        <v>00000</v>
      </c>
      <c r="H283" t="str">
        <f t="shared" si="150"/>
        <v>01/30/18</v>
      </c>
      <c r="I283" t="str">
        <f t="shared" si="151"/>
        <v>72512A</v>
      </c>
      <c r="J283" s="4">
        <v>1771</v>
      </c>
      <c r="K283" t="str">
        <f t="shared" si="148"/>
        <v>ATRION NETWORKING CORPORATION</v>
      </c>
      <c r="L283" t="str">
        <f>"SMX1500RM2U;APC Smart-UPS X 1500VA Rack/Tower LCD 120V"</f>
        <v>SMX1500RM2U;APC Smart-UPS X 1500VA Rack/Tower LCD 120V</v>
      </c>
      <c r="M283" t="str">
        <f t="shared" si="149"/>
        <v>SVALLANT</v>
      </c>
    </row>
    <row r="284" spans="1:13" x14ac:dyDescent="0.25">
      <c r="A284" t="str">
        <f t="shared" si="141"/>
        <v>18</v>
      </c>
      <c r="B284" t="str">
        <f t="shared" si="142"/>
        <v>10</v>
      </c>
      <c r="C284" t="str">
        <f t="shared" si="143"/>
        <v>066</v>
      </c>
      <c r="D284" t="str">
        <f t="shared" si="144"/>
        <v>3005118</v>
      </c>
      <c r="E284" t="str">
        <f t="shared" si="145"/>
        <v>02</v>
      </c>
      <c r="F284" t="str">
        <f t="shared" si="146"/>
        <v>661605</v>
      </c>
      <c r="G284" t="str">
        <f t="shared" si="147"/>
        <v>00000</v>
      </c>
      <c r="H284" t="str">
        <f t="shared" si="150"/>
        <v>01/30/18</v>
      </c>
      <c r="I284" t="str">
        <f t="shared" si="151"/>
        <v>72512A</v>
      </c>
      <c r="J284" s="4">
        <v>18708.32</v>
      </c>
      <c r="K284" t="str">
        <f t="shared" si="148"/>
        <v>ATRION NETWORKING CORPORATION</v>
      </c>
      <c r="L284" t="str">
        <f>"WS-C2960X-48FPD-L;Catalyst 2960-X  48 GigE PoE 740W, 2 x 10G SFP+, LAN Base"</f>
        <v>WS-C2960X-48FPD-L;Catalyst 2960-X  48 GigE PoE 740W, 2 x 10G SFP+, LAN Base</v>
      </c>
      <c r="M284" t="str">
        <f t="shared" si="149"/>
        <v>SVALLANT</v>
      </c>
    </row>
    <row r="285" spans="1:13" x14ac:dyDescent="0.25">
      <c r="A285" t="str">
        <f t="shared" si="141"/>
        <v>18</v>
      </c>
      <c r="B285" t="str">
        <f t="shared" si="142"/>
        <v>10</v>
      </c>
      <c r="C285" t="str">
        <f t="shared" si="143"/>
        <v>066</v>
      </c>
      <c r="D285" t="str">
        <f t="shared" si="144"/>
        <v>3005118</v>
      </c>
      <c r="E285" t="str">
        <f t="shared" si="145"/>
        <v>02</v>
      </c>
      <c r="F285" t="str">
        <f t="shared" si="146"/>
        <v>661605</v>
      </c>
      <c r="G285" t="str">
        <f t="shared" si="147"/>
        <v>00000</v>
      </c>
      <c r="H285" t="str">
        <f t="shared" si="150"/>
        <v>01/30/18</v>
      </c>
      <c r="I285" t="str">
        <f t="shared" si="151"/>
        <v>72512A</v>
      </c>
      <c r="J285" s="4">
        <v>4350</v>
      </c>
      <c r="K285" t="str">
        <f t="shared" si="148"/>
        <v>ATRION NETWORKING CORPORATION</v>
      </c>
      <c r="L285" t="str">
        <f>"Carousel Professional Services"</f>
        <v>Carousel Professional Services</v>
      </c>
      <c r="M285" t="str">
        <f t="shared" si="149"/>
        <v>SVALLANT</v>
      </c>
    </row>
    <row r="286" spans="1:13" x14ac:dyDescent="0.25">
      <c r="I286"/>
      <c r="J286" s="6">
        <f>SUM(J273:J285)</f>
        <v>47879.39</v>
      </c>
    </row>
    <row r="287" spans="1:13" x14ac:dyDescent="0.25">
      <c r="I287"/>
      <c r="J287" s="3"/>
    </row>
    <row r="288" spans="1:13" x14ac:dyDescent="0.25">
      <c r="A288" t="str">
        <f>"18"</f>
        <v>18</v>
      </c>
      <c r="B288" t="str">
        <f>"10"</f>
        <v>10</v>
      </c>
      <c r="C288" t="str">
        <f>"066"</f>
        <v>066</v>
      </c>
      <c r="D288" t="str">
        <f>"3005118"</f>
        <v>3005118</v>
      </c>
      <c r="E288" t="str">
        <f>"02"</f>
        <v>02</v>
      </c>
      <c r="F288" t="str">
        <f>"661605"</f>
        <v>661605</v>
      </c>
      <c r="G288" t="str">
        <f>"00000"</f>
        <v>00000</v>
      </c>
      <c r="H288" t="str">
        <f>"11/21/17"</f>
        <v>11/21/17</v>
      </c>
      <c r="I288" t="str">
        <f>"IN122269"</f>
        <v>IN122269</v>
      </c>
      <c r="J288" s="3">
        <v>3863.1</v>
      </c>
      <c r="K288" t="str">
        <f>"CUSTOM COMPUTER SPECIALISTS INC"</f>
        <v>CUSTOM COMPUTER SPECIALISTS INC</v>
      </c>
      <c r="L288" t="str">
        <f>"HPE 800mm x 1200mm Grey Enterprise Shock Rack - Rack - gray, silver, light gray"</f>
        <v>HPE 800mm x 1200mm Grey Enterprise Shock Rack - Rack - gray, silver, light gray</v>
      </c>
      <c r="M288" t="str">
        <f>"SVALLANT"</f>
        <v>SVALLANT</v>
      </c>
    </row>
    <row r="289" spans="1:13" x14ac:dyDescent="0.25">
      <c r="A289" t="str">
        <f>"18"</f>
        <v>18</v>
      </c>
      <c r="B289" t="str">
        <f>"10"</f>
        <v>10</v>
      </c>
      <c r="C289" t="str">
        <f>"066"</f>
        <v>066</v>
      </c>
      <c r="D289" t="str">
        <f>"3005118"</f>
        <v>3005118</v>
      </c>
      <c r="E289" t="str">
        <f>"02"</f>
        <v>02</v>
      </c>
      <c r="F289" t="str">
        <f>"661605"</f>
        <v>661605</v>
      </c>
      <c r="G289" t="str">
        <f>"00000"</f>
        <v>00000</v>
      </c>
      <c r="H289" t="str">
        <f>"11/21/17"</f>
        <v>11/21/17</v>
      </c>
      <c r="I289" t="str">
        <f>"IN122269"</f>
        <v>IN122269</v>
      </c>
      <c r="J289" s="3">
        <v>11694.55</v>
      </c>
      <c r="K289" t="str">
        <f>"CUSTOM COMPUTER SPECIALISTS INC"</f>
        <v>CUSTOM COMPUTER SPECIALISTS INC</v>
      </c>
      <c r="L289" t="str">
        <f>"HPE 600mm x 1200mm Grey Enterprise Shock Rack - Rack - gray, silver, light gray."</f>
        <v>HPE 600mm x 1200mm Grey Enterprise Shock Rack - Rack - gray, silver, light gray.</v>
      </c>
      <c r="M289" t="str">
        <f>"SVALLANT"</f>
        <v>SVALLANT</v>
      </c>
    </row>
    <row r="290" spans="1:13" x14ac:dyDescent="0.25">
      <c r="I290"/>
      <c r="J290" s="6">
        <f>SUM(J288:J289)</f>
        <v>15557.65</v>
      </c>
    </row>
    <row r="291" spans="1:13" x14ac:dyDescent="0.25">
      <c r="I291"/>
      <c r="J291" s="3"/>
    </row>
    <row r="292" spans="1:13" x14ac:dyDescent="0.25">
      <c r="A292" t="str">
        <f t="shared" ref="A292:A303" si="152">"18"</f>
        <v>18</v>
      </c>
      <c r="B292" t="str">
        <f t="shared" ref="B292:B303" si="153">"10"</f>
        <v>10</v>
      </c>
      <c r="C292" t="str">
        <f t="shared" ref="C292:C303" si="154">"066"</f>
        <v>066</v>
      </c>
      <c r="D292" t="str">
        <f t="shared" ref="D292:D303" si="155">"3005118"</f>
        <v>3005118</v>
      </c>
      <c r="E292" t="str">
        <f t="shared" ref="E292:E303" si="156">"02"</f>
        <v>02</v>
      </c>
      <c r="F292" t="str">
        <f t="shared" ref="F292:F303" si="157">"661701"</f>
        <v>661701</v>
      </c>
      <c r="G292" t="str">
        <f t="shared" ref="G292:G303" si="158">"00000"</f>
        <v>00000</v>
      </c>
      <c r="H292" t="str">
        <f>"10/02/17"</f>
        <v>10/02/17</v>
      </c>
      <c r="I292" t="str">
        <f>"C91705"</f>
        <v>C91705</v>
      </c>
      <c r="J292" s="3">
        <v>17584.560000000001</v>
      </c>
      <c r="K292" t="str">
        <f t="shared" ref="K292:K303" si="159">"WHALLEY COMPUTER ASSOCIATES INC"</f>
        <v>WHALLEY COMPUTER ASSOCIATES INC</v>
      </c>
      <c r="L292" t="str">
        <f>"APA-17092  FY17-20  MICROSOFT BRANDED SUPPORT WITH ADP NTE-$17,584.56"</f>
        <v>APA-17092  FY17-20  MICROSOFT BRANDED SUPPORT WITH ADP NTE-$17,584.56</v>
      </c>
      <c r="M292" t="str">
        <f t="shared" ref="M292:M303" si="160">"SVALLANT"</f>
        <v>SVALLANT</v>
      </c>
    </row>
    <row r="293" spans="1:13" x14ac:dyDescent="0.25">
      <c r="A293" t="str">
        <f t="shared" si="152"/>
        <v>18</v>
      </c>
      <c r="B293" t="str">
        <f t="shared" si="153"/>
        <v>10</v>
      </c>
      <c r="C293" t="str">
        <f t="shared" si="154"/>
        <v>066</v>
      </c>
      <c r="D293" t="str">
        <f t="shared" si="155"/>
        <v>3005118</v>
      </c>
      <c r="E293" t="str">
        <f t="shared" si="156"/>
        <v>02</v>
      </c>
      <c r="F293" t="str">
        <f t="shared" si="157"/>
        <v>661701</v>
      </c>
      <c r="G293" t="str">
        <f t="shared" si="158"/>
        <v>00000</v>
      </c>
      <c r="H293" t="str">
        <f t="shared" ref="H293:H303" si="161">"11/17/17"</f>
        <v>11/17/17</v>
      </c>
      <c r="I293" t="str">
        <f t="shared" ref="I293:I303" si="162">"C87260"</f>
        <v>C87260</v>
      </c>
      <c r="J293" s="3">
        <v>83.1</v>
      </c>
      <c r="K293" t="str">
        <f t="shared" si="159"/>
        <v>WHALLEY COMPUTER ASSOCIATES INC</v>
      </c>
      <c r="L293" t="s">
        <v>49</v>
      </c>
      <c r="M293" t="str">
        <f t="shared" si="160"/>
        <v>SVALLANT</v>
      </c>
    </row>
    <row r="294" spans="1:13" x14ac:dyDescent="0.25">
      <c r="A294" t="str">
        <f t="shared" si="152"/>
        <v>18</v>
      </c>
      <c r="B294" t="str">
        <f t="shared" si="153"/>
        <v>10</v>
      </c>
      <c r="C294" t="str">
        <f t="shared" si="154"/>
        <v>066</v>
      </c>
      <c r="D294" t="str">
        <f t="shared" si="155"/>
        <v>3005118</v>
      </c>
      <c r="E294" t="str">
        <f t="shared" si="156"/>
        <v>02</v>
      </c>
      <c r="F294" t="str">
        <f t="shared" si="157"/>
        <v>661701</v>
      </c>
      <c r="G294" t="str">
        <f t="shared" si="158"/>
        <v>00000</v>
      </c>
      <c r="H294" t="str">
        <f t="shared" si="161"/>
        <v>11/17/17</v>
      </c>
      <c r="I294" t="str">
        <f t="shared" si="162"/>
        <v>C87260</v>
      </c>
      <c r="J294" s="3">
        <v>209.34</v>
      </c>
      <c r="K294" t="str">
        <f t="shared" si="159"/>
        <v>WHALLEY COMPUTER ASSOCIATES INC</v>
      </c>
      <c r="L294" t="str">
        <f>"APA-17092  FY17  Microsoft branded support with ADP;NTE $209.34"</f>
        <v>APA-17092  FY17  Microsoft branded support with ADP;NTE $209.34</v>
      </c>
      <c r="M294" t="str">
        <f t="shared" si="160"/>
        <v>SVALLANT</v>
      </c>
    </row>
    <row r="295" spans="1:13" x14ac:dyDescent="0.25">
      <c r="A295" t="str">
        <f t="shared" si="152"/>
        <v>18</v>
      </c>
      <c r="B295" t="str">
        <f t="shared" si="153"/>
        <v>10</v>
      </c>
      <c r="C295" t="str">
        <f t="shared" si="154"/>
        <v>066</v>
      </c>
      <c r="D295" t="str">
        <f t="shared" si="155"/>
        <v>3005118</v>
      </c>
      <c r="E295" t="str">
        <f t="shared" si="156"/>
        <v>02</v>
      </c>
      <c r="F295" t="str">
        <f t="shared" si="157"/>
        <v>661701</v>
      </c>
      <c r="G295" t="str">
        <f t="shared" si="158"/>
        <v>00000</v>
      </c>
      <c r="H295" t="str">
        <f t="shared" si="161"/>
        <v>11/17/17</v>
      </c>
      <c r="I295" t="str">
        <f t="shared" si="162"/>
        <v>C87260</v>
      </c>
      <c r="J295" s="3">
        <v>11780</v>
      </c>
      <c r="K295" t="str">
        <f t="shared" si="159"/>
        <v>WHALLEY COMPUTER ASSOCIATES INC</v>
      </c>
      <c r="L295" t="str">
        <f>"APA-17092  FY17  MICROSOFT SURFACE PRO 4 TYPE COVER WITH FINGERPRINT ID;QTY 100 NTE $11,780.00"</f>
        <v>APA-17092  FY17  MICROSOFT SURFACE PRO 4 TYPE COVER WITH FINGERPRINT ID;QTY 100 NTE $11,780.00</v>
      </c>
      <c r="M295" t="str">
        <f t="shared" si="160"/>
        <v>SVALLANT</v>
      </c>
    </row>
    <row r="296" spans="1:13" x14ac:dyDescent="0.25">
      <c r="A296" t="str">
        <f t="shared" si="152"/>
        <v>18</v>
      </c>
      <c r="B296" t="str">
        <f t="shared" si="153"/>
        <v>10</v>
      </c>
      <c r="C296" t="str">
        <f t="shared" si="154"/>
        <v>066</v>
      </c>
      <c r="D296" t="str">
        <f t="shared" si="155"/>
        <v>3005118</v>
      </c>
      <c r="E296" t="str">
        <f t="shared" si="156"/>
        <v>02</v>
      </c>
      <c r="F296" t="str">
        <f t="shared" si="157"/>
        <v>661701</v>
      </c>
      <c r="G296" t="str">
        <f t="shared" si="158"/>
        <v>00000</v>
      </c>
      <c r="H296" t="str">
        <f t="shared" si="161"/>
        <v>11/17/17</v>
      </c>
      <c r="I296" t="str">
        <f t="shared" si="162"/>
        <v>C87260</v>
      </c>
      <c r="J296" s="3">
        <v>1479</v>
      </c>
      <c r="K296" t="str">
        <f t="shared" si="159"/>
        <v>WHALLEY COMPUTER ASSOCIATES INC</v>
      </c>
      <c r="L296" t="str">
        <f>"APA-17092  FY17  MICROSOFT SURFACE PRO 4 QUALITY ANTI-GLARE/SMUDGE GLASS SCREEN PROTECTORS;QTY 100 NTE $1,479.00"</f>
        <v>APA-17092  FY17  MICROSOFT SURFACE PRO 4 QUALITY ANTI-GLARE/SMUDGE GLASS SCREEN PROTECTORS;QTY 100 NTE $1,479.00</v>
      </c>
      <c r="M296" t="str">
        <f t="shared" si="160"/>
        <v>SVALLANT</v>
      </c>
    </row>
    <row r="297" spans="1:13" x14ac:dyDescent="0.25">
      <c r="A297" t="str">
        <f t="shared" si="152"/>
        <v>18</v>
      </c>
      <c r="B297" t="str">
        <f t="shared" si="153"/>
        <v>10</v>
      </c>
      <c r="C297" t="str">
        <f t="shared" si="154"/>
        <v>066</v>
      </c>
      <c r="D297" t="str">
        <f t="shared" si="155"/>
        <v>3005118</v>
      </c>
      <c r="E297" t="str">
        <f t="shared" si="156"/>
        <v>02</v>
      </c>
      <c r="F297" t="str">
        <f t="shared" si="157"/>
        <v>661701</v>
      </c>
      <c r="G297" t="str">
        <f t="shared" si="158"/>
        <v>00000</v>
      </c>
      <c r="H297" t="str">
        <f t="shared" si="161"/>
        <v>11/17/17</v>
      </c>
      <c r="I297" t="str">
        <f t="shared" si="162"/>
        <v>C87260</v>
      </c>
      <c r="J297" s="3">
        <v>5945</v>
      </c>
      <c r="K297" t="str">
        <f t="shared" si="159"/>
        <v>WHALLEY COMPUTER ASSOCIATES INC</v>
      </c>
      <c r="L297" t="str">
        <f>"APA-17092  FY17  MICROSOFT SURFACE PRO 4 POWER SUPPLIES;QTY 100 NTE $ 5,945.00"</f>
        <v>APA-17092  FY17  MICROSOFT SURFACE PRO 4 POWER SUPPLIES;QTY 100 NTE $ 5,945.00</v>
      </c>
      <c r="M297" t="str">
        <f t="shared" si="160"/>
        <v>SVALLANT</v>
      </c>
    </row>
    <row r="298" spans="1:13" x14ac:dyDescent="0.25">
      <c r="A298" t="str">
        <f t="shared" si="152"/>
        <v>18</v>
      </c>
      <c r="B298" t="str">
        <f t="shared" si="153"/>
        <v>10</v>
      </c>
      <c r="C298" t="str">
        <f t="shared" si="154"/>
        <v>066</v>
      </c>
      <c r="D298" t="str">
        <f t="shared" si="155"/>
        <v>3005118</v>
      </c>
      <c r="E298" t="str">
        <f t="shared" si="156"/>
        <v>02</v>
      </c>
      <c r="F298" t="str">
        <f t="shared" si="157"/>
        <v>661701</v>
      </c>
      <c r="G298" t="str">
        <f t="shared" si="158"/>
        <v>00000</v>
      </c>
      <c r="H298" t="str">
        <f t="shared" si="161"/>
        <v>11/17/17</v>
      </c>
      <c r="I298" t="str">
        <f t="shared" si="162"/>
        <v>C87260</v>
      </c>
      <c r="J298" s="3">
        <v>4418</v>
      </c>
      <c r="K298" t="str">
        <f t="shared" si="159"/>
        <v>WHALLEY COMPUTER ASSOCIATES INC</v>
      </c>
      <c r="L298" t="str">
        <f>"APA-17092  FY17  MICROSOFT SURFACE PENS ;QTY 100 NTE $4,418.00"</f>
        <v>APA-17092  FY17  MICROSOFT SURFACE PENS ;QTY 100 NTE $4,418.00</v>
      </c>
      <c r="M298" t="str">
        <f t="shared" si="160"/>
        <v>SVALLANT</v>
      </c>
    </row>
    <row r="299" spans="1:13" x14ac:dyDescent="0.25">
      <c r="A299" t="str">
        <f t="shared" si="152"/>
        <v>18</v>
      </c>
      <c r="B299" t="str">
        <f t="shared" si="153"/>
        <v>10</v>
      </c>
      <c r="C299" t="str">
        <f t="shared" si="154"/>
        <v>066</v>
      </c>
      <c r="D299" t="str">
        <f t="shared" si="155"/>
        <v>3005118</v>
      </c>
      <c r="E299" t="str">
        <f t="shared" si="156"/>
        <v>02</v>
      </c>
      <c r="F299" t="str">
        <f t="shared" si="157"/>
        <v>661701</v>
      </c>
      <c r="G299" t="str">
        <f t="shared" si="158"/>
        <v>00000</v>
      </c>
      <c r="H299" t="str">
        <f t="shared" si="161"/>
        <v>11/17/17</v>
      </c>
      <c r="I299" t="str">
        <f t="shared" si="162"/>
        <v>C87260</v>
      </c>
      <c r="J299" s="3">
        <v>736</v>
      </c>
      <c r="K299" t="str">
        <f t="shared" si="159"/>
        <v>WHALLEY COMPUTER ASSOCIATES INC</v>
      </c>
      <c r="L299" t="str">
        <f>"APA-17092  FY17  MICROSOFT MINI DISPLAY PORT TO HDMI AV ADAPTERS;QTY 25 NTE $ 736.00"</f>
        <v>APA-17092  FY17  MICROSOFT MINI DISPLAY PORT TO HDMI AV ADAPTERS;QTY 25 NTE $ 736.00</v>
      </c>
      <c r="M299" t="str">
        <f t="shared" si="160"/>
        <v>SVALLANT</v>
      </c>
    </row>
    <row r="300" spans="1:13" x14ac:dyDescent="0.25">
      <c r="A300" t="str">
        <f t="shared" si="152"/>
        <v>18</v>
      </c>
      <c r="B300" t="str">
        <f t="shared" si="153"/>
        <v>10</v>
      </c>
      <c r="C300" t="str">
        <f t="shared" si="154"/>
        <v>066</v>
      </c>
      <c r="D300" t="str">
        <f t="shared" si="155"/>
        <v>3005118</v>
      </c>
      <c r="E300" t="str">
        <f t="shared" si="156"/>
        <v>02</v>
      </c>
      <c r="F300" t="str">
        <f t="shared" si="157"/>
        <v>661701</v>
      </c>
      <c r="G300" t="str">
        <f t="shared" si="158"/>
        <v>00000</v>
      </c>
      <c r="H300" t="str">
        <f t="shared" si="161"/>
        <v>11/17/17</v>
      </c>
      <c r="I300" t="str">
        <f t="shared" si="162"/>
        <v>C87260</v>
      </c>
      <c r="J300" s="3">
        <v>3842.06</v>
      </c>
      <c r="K300" t="str">
        <f t="shared" si="159"/>
        <v>WHALLEY COMPUTER ASSOCIATES INC</v>
      </c>
      <c r="L300" t="str">
        <f>"APA-17092  FY17  MICROSOFT SURFACE PRO 4 WITH 512GB SSD/INTEL i7/16GB RAM;QTY 2 NTE $ 3,842.06"</f>
        <v>APA-17092  FY17  MICROSOFT SURFACE PRO 4 WITH 512GB SSD/INTEL i7/16GB RAM;QTY 2 NTE $ 3,842.06</v>
      </c>
      <c r="M300" t="str">
        <f t="shared" si="160"/>
        <v>SVALLANT</v>
      </c>
    </row>
    <row r="301" spans="1:13" x14ac:dyDescent="0.25">
      <c r="A301" t="str">
        <f t="shared" si="152"/>
        <v>18</v>
      </c>
      <c r="B301" t="str">
        <f t="shared" si="153"/>
        <v>10</v>
      </c>
      <c r="C301" t="str">
        <f t="shared" si="154"/>
        <v>066</v>
      </c>
      <c r="D301" t="str">
        <f t="shared" si="155"/>
        <v>3005118</v>
      </c>
      <c r="E301" t="str">
        <f t="shared" si="156"/>
        <v>02</v>
      </c>
      <c r="F301" t="str">
        <f t="shared" si="157"/>
        <v>661701</v>
      </c>
      <c r="G301" t="str">
        <f t="shared" si="158"/>
        <v>00000</v>
      </c>
      <c r="H301" t="str">
        <f t="shared" si="161"/>
        <v>11/17/17</v>
      </c>
      <c r="I301" t="str">
        <f t="shared" si="162"/>
        <v>C87260</v>
      </c>
      <c r="J301" s="3">
        <v>4115.7</v>
      </c>
      <c r="K301" t="str">
        <f t="shared" si="159"/>
        <v>WHALLEY COMPUTER ASSOCIATES INC</v>
      </c>
      <c r="L301" t="str">
        <f>"APA-17092  FY17  MICROSOFT SURFACE PRO 4 WITH 256GB SSD/INTEL i7/8GB RAM ;QTY 3 NTE $ 4,115.70"</f>
        <v>APA-17092  FY17  MICROSOFT SURFACE PRO 4 WITH 256GB SSD/INTEL i7/8GB RAM ;QTY 3 NTE $ 4,115.70</v>
      </c>
      <c r="M301" t="str">
        <f t="shared" si="160"/>
        <v>SVALLANT</v>
      </c>
    </row>
    <row r="302" spans="1:13" x14ac:dyDescent="0.25">
      <c r="A302" t="str">
        <f t="shared" si="152"/>
        <v>18</v>
      </c>
      <c r="B302" t="str">
        <f t="shared" si="153"/>
        <v>10</v>
      </c>
      <c r="C302" t="str">
        <f t="shared" si="154"/>
        <v>066</v>
      </c>
      <c r="D302" t="str">
        <f t="shared" si="155"/>
        <v>3005118</v>
      </c>
      <c r="E302" t="str">
        <f t="shared" si="156"/>
        <v>02</v>
      </c>
      <c r="F302" t="str">
        <f t="shared" si="157"/>
        <v>661701</v>
      </c>
      <c r="G302" t="str">
        <f t="shared" si="158"/>
        <v>00000</v>
      </c>
      <c r="H302" t="str">
        <f t="shared" si="161"/>
        <v>11/17/17</v>
      </c>
      <c r="I302" t="str">
        <f t="shared" si="162"/>
        <v>C87260</v>
      </c>
      <c r="J302" s="3">
        <v>3681.75</v>
      </c>
      <c r="K302" t="str">
        <f t="shared" si="159"/>
        <v>WHALLEY COMPUTER ASSOCIATES INC</v>
      </c>
      <c r="L302" t="str">
        <f>"APA-17092  FY17  OEM MICROSOFT SURFACE DOCKS ;QTY 25 NTE $3,681.75"</f>
        <v>APA-17092  FY17  OEM MICROSOFT SURFACE DOCKS ;QTY 25 NTE $3,681.75</v>
      </c>
      <c r="M302" t="str">
        <f t="shared" si="160"/>
        <v>SVALLANT</v>
      </c>
    </row>
    <row r="303" spans="1:13" x14ac:dyDescent="0.25">
      <c r="A303" t="str">
        <f t="shared" si="152"/>
        <v>18</v>
      </c>
      <c r="B303" t="str">
        <f t="shared" si="153"/>
        <v>10</v>
      </c>
      <c r="C303" t="str">
        <f t="shared" si="154"/>
        <v>066</v>
      </c>
      <c r="D303" t="str">
        <f t="shared" si="155"/>
        <v>3005118</v>
      </c>
      <c r="E303" t="str">
        <f t="shared" si="156"/>
        <v>02</v>
      </c>
      <c r="F303" t="str">
        <f t="shared" si="157"/>
        <v>661701</v>
      </c>
      <c r="G303" t="str">
        <f t="shared" si="158"/>
        <v>00000</v>
      </c>
      <c r="H303" t="str">
        <f t="shared" si="161"/>
        <v>11/17/17</v>
      </c>
      <c r="I303" t="str">
        <f t="shared" si="162"/>
        <v>C87260</v>
      </c>
      <c r="J303" s="3">
        <v>1908.55</v>
      </c>
      <c r="K303" t="str">
        <f t="shared" si="159"/>
        <v>WHALLEY COMPUTER ASSOCIATES INC</v>
      </c>
      <c r="L303" t="str">
        <f>"APA-17092  FY17  SURFACE COMPATABLE/OPTIMIZED BAGS;QTY 95 NTE $1,908.55"</f>
        <v>APA-17092  FY17  SURFACE COMPATABLE/OPTIMIZED BAGS;QTY 95 NTE $1,908.55</v>
      </c>
      <c r="M303" t="str">
        <f t="shared" si="160"/>
        <v>SVALLANT</v>
      </c>
    </row>
    <row r="304" spans="1:13" x14ac:dyDescent="0.25">
      <c r="I304"/>
      <c r="J304" s="6">
        <f>SUM(J292:J303)</f>
        <v>55783.06</v>
      </c>
    </row>
    <row r="305" spans="1:13" x14ac:dyDescent="0.25">
      <c r="I305"/>
      <c r="J305" s="4"/>
    </row>
    <row r="306" spans="1:13" x14ac:dyDescent="0.25">
      <c r="A306" t="str">
        <f t="shared" ref="A306:A313" si="163">"18"</f>
        <v>18</v>
      </c>
      <c r="B306" t="str">
        <f t="shared" ref="B306:B313" si="164">"10"</f>
        <v>10</v>
      </c>
      <c r="C306" t="str">
        <f t="shared" ref="C306:C313" si="165">"066"</f>
        <v>066</v>
      </c>
      <c r="D306" t="str">
        <f t="shared" ref="D306:D313" si="166">"3005118"</f>
        <v>3005118</v>
      </c>
      <c r="E306" t="str">
        <f t="shared" ref="E306:E313" si="167">"02"</f>
        <v>02</v>
      </c>
      <c r="F306" t="str">
        <f t="shared" ref="F306:F313" si="168">"661711"</f>
        <v>661711</v>
      </c>
      <c r="G306" t="str">
        <f t="shared" ref="G306:G312" si="169">"00000"</f>
        <v>00000</v>
      </c>
      <c r="H306" t="str">
        <f>"09/22/17"</f>
        <v>09/22/17</v>
      </c>
      <c r="I306" t="str">
        <f>"70956-A"</f>
        <v>70956-A</v>
      </c>
      <c r="J306" s="4">
        <v>3252.86</v>
      </c>
      <c r="K306" t="str">
        <f t="shared" ref="K306:K313" si="170">"ATRION NETWORKING CORPORATION"</f>
        <v>ATRION NETWORKING CORPORATION</v>
      </c>
      <c r="L306" t="str">
        <f>"FortiTokenMobile-100users"</f>
        <v>FortiTokenMobile-100users</v>
      </c>
      <c r="M306" t="str">
        <f t="shared" ref="M306:M312" si="171">"SVALLANT"</f>
        <v>SVALLANT</v>
      </c>
    </row>
    <row r="307" spans="1:13" x14ac:dyDescent="0.25">
      <c r="A307" t="str">
        <f t="shared" si="163"/>
        <v>18</v>
      </c>
      <c r="B307" t="str">
        <f t="shared" si="164"/>
        <v>10</v>
      </c>
      <c r="C307" t="str">
        <f t="shared" si="165"/>
        <v>066</v>
      </c>
      <c r="D307" t="str">
        <f t="shared" si="166"/>
        <v>3005118</v>
      </c>
      <c r="E307" t="str">
        <f t="shared" si="167"/>
        <v>02</v>
      </c>
      <c r="F307" t="str">
        <f t="shared" si="168"/>
        <v>661711</v>
      </c>
      <c r="G307" t="str">
        <f t="shared" si="169"/>
        <v>00000</v>
      </c>
      <c r="H307" t="str">
        <f>"09/22/17"</f>
        <v>09/22/17</v>
      </c>
      <c r="I307" t="str">
        <f>"70956-A"</f>
        <v>70956-A</v>
      </c>
      <c r="J307" s="4">
        <v>8250</v>
      </c>
      <c r="K307" t="str">
        <f t="shared" si="170"/>
        <v>ATRION NETWORKING CORPORATION</v>
      </c>
      <c r="L307" t="str">
        <f>"Atrion?s Project Managed Professional Services"</f>
        <v>Atrion?s Project Managed Professional Services</v>
      </c>
      <c r="M307" t="str">
        <f t="shared" si="171"/>
        <v>SVALLANT</v>
      </c>
    </row>
    <row r="308" spans="1:13" x14ac:dyDescent="0.25">
      <c r="A308" t="str">
        <f t="shared" si="163"/>
        <v>18</v>
      </c>
      <c r="B308" t="str">
        <f t="shared" si="164"/>
        <v>10</v>
      </c>
      <c r="C308" t="str">
        <f t="shared" si="165"/>
        <v>066</v>
      </c>
      <c r="D308" t="str">
        <f t="shared" si="166"/>
        <v>3005118</v>
      </c>
      <c r="E308" t="str">
        <f t="shared" si="167"/>
        <v>02</v>
      </c>
      <c r="F308" t="str">
        <f t="shared" si="168"/>
        <v>661711</v>
      </c>
      <c r="G308" t="str">
        <f t="shared" si="169"/>
        <v>00000</v>
      </c>
      <c r="H308" t="str">
        <f>"09/22/17"</f>
        <v>09/22/17</v>
      </c>
      <c r="I308" t="str">
        <f>"70956-A"</f>
        <v>70956-A</v>
      </c>
      <c r="J308" s="4">
        <v>7312.5</v>
      </c>
      <c r="K308" t="str">
        <f t="shared" si="170"/>
        <v>ATRION NETWORKING CORPORATION</v>
      </c>
      <c r="L308" t="str">
        <f>"FortiAnalyzer-400E"</f>
        <v>FortiAnalyzer-400E</v>
      </c>
      <c r="M308" t="str">
        <f t="shared" si="171"/>
        <v>SVALLANT</v>
      </c>
    </row>
    <row r="309" spans="1:13" x14ac:dyDescent="0.25">
      <c r="A309" t="str">
        <f t="shared" si="163"/>
        <v>18</v>
      </c>
      <c r="B309" t="str">
        <f t="shared" si="164"/>
        <v>10</v>
      </c>
      <c r="C309" t="str">
        <f t="shared" si="165"/>
        <v>066</v>
      </c>
      <c r="D309" t="str">
        <f t="shared" si="166"/>
        <v>3005118</v>
      </c>
      <c r="E309" t="str">
        <f t="shared" si="167"/>
        <v>02</v>
      </c>
      <c r="F309" t="str">
        <f t="shared" si="168"/>
        <v>661711</v>
      </c>
      <c r="G309" t="str">
        <f t="shared" si="169"/>
        <v>00000</v>
      </c>
      <c r="H309" t="str">
        <f>"09/22/17"</f>
        <v>09/22/17</v>
      </c>
      <c r="I309" t="str">
        <f>"70956-A"</f>
        <v>70956-A</v>
      </c>
      <c r="J309" s="4">
        <v>1778.57</v>
      </c>
      <c r="K309" t="str">
        <f t="shared" si="170"/>
        <v>ATRION NETWORKING CORPORATION</v>
      </c>
      <c r="L309" t="str">
        <f>"FortTokenMobile-50 users"</f>
        <v>FortTokenMobile-50 users</v>
      </c>
      <c r="M309" t="str">
        <f t="shared" si="171"/>
        <v>SVALLANT</v>
      </c>
    </row>
    <row r="310" spans="1:13" x14ac:dyDescent="0.25">
      <c r="A310" t="str">
        <f t="shared" si="163"/>
        <v>18</v>
      </c>
      <c r="B310" t="str">
        <f t="shared" si="164"/>
        <v>10</v>
      </c>
      <c r="C310" t="str">
        <f t="shared" si="165"/>
        <v>066</v>
      </c>
      <c r="D310" t="str">
        <f t="shared" si="166"/>
        <v>3005118</v>
      </c>
      <c r="E310" t="str">
        <f t="shared" si="167"/>
        <v>02</v>
      </c>
      <c r="F310" t="str">
        <f t="shared" si="168"/>
        <v>661711</v>
      </c>
      <c r="G310" t="str">
        <f t="shared" si="169"/>
        <v>00000</v>
      </c>
      <c r="H310" t="str">
        <f>"09/22/17"</f>
        <v>09/22/17</v>
      </c>
      <c r="I310" t="str">
        <f>"70956-A"</f>
        <v>70956-A</v>
      </c>
      <c r="J310" s="4">
        <v>6853.72</v>
      </c>
      <c r="K310" t="str">
        <f t="shared" si="170"/>
        <v>ATRION NETWORKING CORPORATION</v>
      </c>
      <c r="L310" t="str">
        <f>"FortiAuthenticator 200E"</f>
        <v>FortiAuthenticator 200E</v>
      </c>
      <c r="M310" t="str">
        <f t="shared" si="171"/>
        <v>SVALLANT</v>
      </c>
    </row>
    <row r="311" spans="1:13" x14ac:dyDescent="0.25">
      <c r="A311" t="str">
        <f t="shared" si="163"/>
        <v>18</v>
      </c>
      <c r="B311" t="str">
        <f t="shared" si="164"/>
        <v>10</v>
      </c>
      <c r="C311" t="str">
        <f t="shared" si="165"/>
        <v>066</v>
      </c>
      <c r="D311" t="str">
        <f t="shared" si="166"/>
        <v>3005118</v>
      </c>
      <c r="E311" t="str">
        <f t="shared" si="167"/>
        <v>02</v>
      </c>
      <c r="F311" t="str">
        <f t="shared" si="168"/>
        <v>661711</v>
      </c>
      <c r="G311" t="str">
        <f t="shared" si="169"/>
        <v>00000</v>
      </c>
      <c r="H311" t="str">
        <f>"01/23/18"</f>
        <v>01/23/18</v>
      </c>
      <c r="I311" t="str">
        <f>"0089345-IN"</f>
        <v>0089345-IN</v>
      </c>
      <c r="J311" s="4">
        <v>6585</v>
      </c>
      <c r="K311" t="str">
        <f t="shared" si="170"/>
        <v>ATRION NETWORKING CORPORATION</v>
      </c>
      <c r="L311" t="str">
        <f>"Maxtime professional managed services."</f>
        <v>Maxtime professional managed services.</v>
      </c>
      <c r="M311" t="str">
        <f t="shared" si="171"/>
        <v>SVALLANT</v>
      </c>
    </row>
    <row r="312" spans="1:13" x14ac:dyDescent="0.25">
      <c r="A312" t="str">
        <f t="shared" si="163"/>
        <v>18</v>
      </c>
      <c r="B312" t="str">
        <f t="shared" si="164"/>
        <v>10</v>
      </c>
      <c r="C312" t="str">
        <f t="shared" si="165"/>
        <v>066</v>
      </c>
      <c r="D312" t="str">
        <f t="shared" si="166"/>
        <v>3005118</v>
      </c>
      <c r="E312" t="str">
        <f t="shared" si="167"/>
        <v>02</v>
      </c>
      <c r="F312" t="str">
        <f t="shared" si="168"/>
        <v>661711</v>
      </c>
      <c r="G312" t="str">
        <f t="shared" si="169"/>
        <v>00000</v>
      </c>
      <c r="H312" t="str">
        <f>"01/23/18"</f>
        <v>01/23/18</v>
      </c>
      <c r="I312" t="str">
        <f>"0089945-IN"</f>
        <v>0089945-IN</v>
      </c>
      <c r="J312" s="4">
        <v>8250</v>
      </c>
      <c r="K312" t="str">
        <f t="shared" si="170"/>
        <v>ATRION NETWORKING CORPORATION</v>
      </c>
      <c r="L312" t="str">
        <f>"Atrion?s Project Managed Professional Services"</f>
        <v>Atrion?s Project Managed Professional Services</v>
      </c>
      <c r="M312" t="str">
        <f t="shared" si="171"/>
        <v>SVALLANT</v>
      </c>
    </row>
    <row r="313" spans="1:13" x14ac:dyDescent="0.25">
      <c r="A313" t="str">
        <f t="shared" si="163"/>
        <v>18</v>
      </c>
      <c r="B313" t="str">
        <f t="shared" si="164"/>
        <v>10</v>
      </c>
      <c r="C313" t="str">
        <f t="shared" si="165"/>
        <v>066</v>
      </c>
      <c r="D313" t="str">
        <f t="shared" si="166"/>
        <v>3005118</v>
      </c>
      <c r="E313" t="str">
        <f t="shared" si="167"/>
        <v>02</v>
      </c>
      <c r="F313" t="str">
        <f t="shared" si="168"/>
        <v>661711</v>
      </c>
      <c r="G313" t="str">
        <f>"AG004"</f>
        <v>AG004</v>
      </c>
      <c r="H313" t="str">
        <f>"09/28/17"</f>
        <v>09/28/17</v>
      </c>
      <c r="I313" t="str">
        <f>"0087695-IN"</f>
        <v>0087695-IN</v>
      </c>
      <c r="J313" s="3">
        <v>3300</v>
      </c>
      <c r="K313" t="str">
        <f t="shared" si="170"/>
        <v>ATRION NETWORKING CORPORATION</v>
      </c>
      <c r="L313" t="str">
        <f>"ATRION PROJECT MANAGED PROFESSIONAL SERVICES"</f>
        <v>ATRION PROJECT MANAGED PROFESSIONAL SERVICES</v>
      </c>
      <c r="M313" t="str">
        <f>"MFUSCO"</f>
        <v>MFUSCO</v>
      </c>
    </row>
    <row r="314" spans="1:13" x14ac:dyDescent="0.25">
      <c r="I314"/>
      <c r="J314" s="6">
        <f>SUM(J306:J313)</f>
        <v>45582.65</v>
      </c>
    </row>
    <row r="315" spans="1:13" x14ac:dyDescent="0.25">
      <c r="I315"/>
      <c r="J315" s="3"/>
    </row>
    <row r="316" spans="1:13" x14ac:dyDescent="0.25">
      <c r="A316" t="str">
        <f>"18"</f>
        <v>18</v>
      </c>
      <c r="B316" t="str">
        <f>"10"</f>
        <v>10</v>
      </c>
      <c r="C316" t="str">
        <f>"066"</f>
        <v>066</v>
      </c>
      <c r="D316" t="str">
        <f>"3005118"</f>
        <v>3005118</v>
      </c>
      <c r="E316" t="str">
        <f>"02"</f>
        <v>02</v>
      </c>
      <c r="F316" t="str">
        <f>"661711"</f>
        <v>661711</v>
      </c>
      <c r="G316" t="str">
        <f>"AG004"</f>
        <v>AG004</v>
      </c>
      <c r="H316" t="str">
        <f>"10/13/17"</f>
        <v>10/13/17</v>
      </c>
      <c r="I316" t="str">
        <f>"67553"</f>
        <v>67553</v>
      </c>
      <c r="J316" s="6">
        <v>3430</v>
      </c>
      <c r="K316" t="str">
        <f>"ENVISION TECHNOLOGY ADVISORS LLC"</f>
        <v>ENVISION TECHNOLOGY ADVISORS LLC</v>
      </c>
      <c r="L316" t="str">
        <f>"VDI REMEDIATION AND IMPROVEMENTS;LICENSES"</f>
        <v>VDI REMEDIATION AND IMPROVEMENTS;LICENSES</v>
      </c>
      <c r="M316" t="str">
        <f>"BRITTE@E"</f>
        <v>BRITTE@E</v>
      </c>
    </row>
    <row r="317" spans="1:13" x14ac:dyDescent="0.25">
      <c r="I317"/>
      <c r="J317" s="1"/>
    </row>
    <row r="318" spans="1:13" x14ac:dyDescent="0.25">
      <c r="I318"/>
      <c r="J318" s="5">
        <f>J316+J314+J304+J290+J286+J271+J266+J259+J251+J244+J237+J229+J217+J209+J202+J189+J177+J160+J158+J154+J152+J150+J148+J146+J144+J136+J125+J120+J113+J109+J107+J105+J97+J84+J79+J77+J75+J73+J64+J55+J49+J43+J41+J39+J34+J26+J18+J12</f>
        <v>7438684.370000001</v>
      </c>
    </row>
    <row r="319" spans="1:13" x14ac:dyDescent="0.25">
      <c r="I3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Thru FY 2017</vt:lpstr>
      <vt:lpstr>FY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field_m</dc:creator>
  <cp:lastModifiedBy>field_m</cp:lastModifiedBy>
  <dcterms:created xsi:type="dcterms:W3CDTF">2018-03-14T15:25:50Z</dcterms:created>
  <dcterms:modified xsi:type="dcterms:W3CDTF">2018-03-14T15:34:10Z</dcterms:modified>
</cp:coreProperties>
</file>